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7"/>
  </bookViews>
  <sheets>
    <sheet name="UTILISATION" sheetId="1" r:id="rId1"/>
    <sheet name="Parcours" sheetId="2" r:id="rId2"/>
    <sheet name="Inscriptions" sheetId="3" r:id="rId3"/>
    <sheet name="Départs" sheetId="4" r:id="rId4"/>
    <sheet name="émargement" sheetId="5" r:id="rId5"/>
    <sheet name="Pénalités" sheetId="6" r:id="rId6"/>
    <sheet name="Résultats" sheetId="7" r:id="rId7"/>
    <sheet name="Classement" sheetId="8" r:id="rId8"/>
    <sheet name="Constantes" sheetId="9" r:id="rId9"/>
    <sheet name="Barème" sheetId="10" r:id="rId10"/>
    <sheet name="Analyse" sheetId="11" r:id="rId11"/>
    <sheet name="Historique des modifications" sheetId="12" r:id="rId12"/>
    <sheet name="Dictionnaire" sheetId="13" r:id="rId13"/>
  </sheets>
  <definedNames>
    <definedName name="_xlnm.Print_Area" localSheetId="10">'Analyse'!$A$3:$AS$19</definedName>
    <definedName name="_xlnm.Print_Titles" localSheetId="10">('Analyse'!$A:$A,'Analyse'!$1:$2)</definedName>
    <definedName name="_xlnm.Print_Area" localSheetId="7">'Classement'!$B$3:$V$63</definedName>
    <definedName name="_xlnm.Print_Titles" localSheetId="7">'Classement'!$1:$3</definedName>
    <definedName name="_xlnm.Print_Area" localSheetId="8">'Constantes'!$A$1:$D$16</definedName>
    <definedName name="_xlnm.Print_Area" localSheetId="3">'Départs'!$A$1:$R$63</definedName>
    <definedName name="_xlnm.Print_Titles" localSheetId="3">('Départs'!$A:$A,'Départs'!$1:$3)</definedName>
    <definedName name="_xlnm.Print_Area" localSheetId="12">'Dictionnaire'!$A$1:$F$100</definedName>
    <definedName name="_xlnm.Print_Area" localSheetId="4">'émargement'!$A$1:$G$64</definedName>
    <definedName name="_xlnm.Print_Titles" localSheetId="4">'émargement'!$1:$4</definedName>
    <definedName name="_xlnm.Print_Area" localSheetId="11">'Historique des modifications'!$A$1:$B$9</definedName>
    <definedName name="_xlnm.Print_Titles" localSheetId="11">'Historique des modifications'!$1:$1</definedName>
    <definedName name="_xlnm.Print_Area" localSheetId="2">'Inscriptions'!$A$1:$Q$63</definedName>
    <definedName name="_xlnm.Print_Titles" localSheetId="2">'Inscriptions'!$1:$3</definedName>
    <definedName name="_xlnm.Print_Area" localSheetId="1">'Parcours'!$A$1:$F$24</definedName>
    <definedName name="_xlnm.Print_Titles" localSheetId="1">'Parcours'!$1:$2</definedName>
    <definedName name="_xlnm.Print_Area" localSheetId="5">'Pénalités'!$A$1:$AX$64</definedName>
    <definedName name="_xlnm.Print_Titles" localSheetId="5">('Pénalités'!$A:$A,'Pénalités'!$1:$4)</definedName>
    <definedName name="_xlnm.Print_Area" localSheetId="6">'Résultats'!$C$4:$P$63</definedName>
    <definedName name="_xlnm.Print_Titles" localSheetId="6">'Résultats'!$1:$3</definedName>
    <definedName name="Amplitude">'Parcours'!$D$18</definedName>
    <definedName name="Amplitude_max">'Constantes'!$C$14</definedName>
    <definedName name="audience">'Barème'!$BN$5</definedName>
    <definedName name="Barème">'Barème'!$A:$XFD</definedName>
    <definedName name="BonusM">'Barème'!$BN$2</definedName>
    <definedName name="Capitaine">'Inscriptions'!$E:$E</definedName>
    <definedName name="Club">'Inscriptions'!$C:$C</definedName>
    <definedName name="coeff_audience">'Barème'!$A$2:$AR$41</definedName>
    <definedName name="Correction">'Pénalités'!$AC:$AC</definedName>
    <definedName name="Dernier_départ">'Parcours'!$B$18</definedName>
    <definedName name="Dictionnaire">'Dictionnaire'!$A:$XFD</definedName>
    <definedName name="Distance">'Parcours'!$B$6</definedName>
    <definedName name="Distance_effort">'Parcours'!$B$20</definedName>
    <definedName name="Distance_effort_max">'Constantes'!$C$10</definedName>
    <definedName name="Distance_effort_min">'Constantes'!$B$10</definedName>
    <definedName name="Dossard">'Départs'!$A:$A</definedName>
    <definedName name="Début_épreuve">'Parcours'!$B$11</definedName>
    <definedName name="Dénivelée">'Parcours'!$B$7</definedName>
    <definedName name="Dénivelée_effort">'Parcours'!$B$19</definedName>
    <definedName name="Départs">'Départs'!$3:$63</definedName>
    <definedName name="Départs_effectif">'Départs'!$G:$G</definedName>
    <definedName name="Effectif">'Inscriptions'!$S:$S</definedName>
    <definedName name="Excédent">'Pénalités'!$K:$K</definedName>
    <definedName name="Excédentaire_coeff">'Constantes'!$C$4</definedName>
    <definedName name="Fausse">'Constantes'!$B$6</definedName>
    <definedName name="Fausses">'Pénalités'!$AU:$AU</definedName>
    <definedName name="Fausse_coeff">'Constantes'!$C$6</definedName>
    <definedName name="Fin_épreuve">'Parcours'!$B$12</definedName>
    <definedName name="Fin_épreuve_max">'Parcours'!$E$12</definedName>
    <definedName name="Fin_épreuve_min">'Parcours'!$D$12</definedName>
    <definedName name="Forfait_max">'Constantes'!$C$12</definedName>
    <definedName name="Forfait_min">'Constantes'!$B$12</definedName>
    <definedName name="Forfait__minutes">'Parcours'!$B$9</definedName>
    <definedName name="Heure_arrivée">'émargement'!$F$5:$F$64</definedName>
    <definedName name="Heure_départ">'Départs'!$C:$C</definedName>
    <definedName name="Identifiant_equipe">'Inscriptions'!$U:$U</definedName>
    <definedName name="Inscriptions">'Inscriptions'!$3:$64</definedName>
    <definedName name="Inscriptions_numéro">'Inscriptions'!$R:$R</definedName>
    <definedName name="Intervalle">'Parcours'!$B$13</definedName>
    <definedName name="Intervalle_max">'Parcours'!$E$13</definedName>
    <definedName name="Intervalle_min">'Constantes'!$B$13</definedName>
    <definedName name="Licence_1">'Inscriptions'!$J:$J</definedName>
    <definedName name="Licence_2">'Inscriptions'!$L:$L</definedName>
    <definedName name="Licence_3">'Inscriptions'!$N:$N</definedName>
    <definedName name="Licence_c">'Inscriptions'!$F:$F</definedName>
    <definedName name="Mal_placée">'Constantes'!$B$5</definedName>
    <definedName name="Mal_placées">'Pénalités'!$AB:$AB</definedName>
    <definedName name="Mal_placée_coeff">'Constantes'!$C$5</definedName>
    <definedName name="Manquent">'Pénalités'!$L:$L</definedName>
    <definedName name="Niveau">'Parcours'!$B$3</definedName>
    <definedName name="Nombres_bornes_réelles">'Pénalités'!$J$4</definedName>
    <definedName name="Nombre_bornes_max">'Constantes'!$C$15</definedName>
    <definedName name="Nombre_bornes_min">'Constantes'!$B$15</definedName>
    <definedName name="Nombre_bornes_réelles">'Pénalités'!$J$4</definedName>
    <definedName name="Nombre_de_bornes">'Parcours'!$B$10</definedName>
    <definedName name="Non_répondue">'Constantes'!$B$7</definedName>
    <definedName name="Non_répondues">'Pénalités'!$AV:$AV</definedName>
    <definedName name="Non_répondue_coeff">'Constantes'!$C$7</definedName>
    <definedName name="Numéro_club">'Inscriptions'!$B:$B</definedName>
    <definedName name="Parcours__heures">'Parcours'!$B$21</definedName>
    <definedName name="Parcours__minutes">'Parcours'!$B$22</definedName>
    <definedName name="Pointées">'Pénalités'!$J:$J</definedName>
    <definedName name="Premier_départ">'Parcours'!$B$17</definedName>
    <definedName name="Pénalités">'Pénalités'!$4:$64</definedName>
    <definedName name="Pénalités_ACM">'Pénalités'!$AW:$AW</definedName>
    <definedName name="Pénalités_bornes">'Pénalités'!$AD:$AD</definedName>
    <definedName name="Pénalités_temps">'Pénalités'!$I:$I</definedName>
    <definedName name="Rang">'Résultats'!$B:$B</definedName>
    <definedName name="Rang_B">'Résultats'!$L:$L</definedName>
    <definedName name="Rang_P">'Résultats'!$J:$J</definedName>
    <definedName name="Rang_S">'Résultats'!$Q:$Q</definedName>
    <definedName name="Rang_T">'Résultats'!$N:$N</definedName>
    <definedName name="Résultats">'Résultats'!$3:$63</definedName>
    <definedName name="Score_combiné">'Résultats'!$R:$R</definedName>
    <definedName name="Subsidiaire">'Résultats'!$P:$P</definedName>
    <definedName name="Temps_cible">'émargement'!$D$5:$D$64</definedName>
    <definedName name="Temps_réel">'Pénalités'!$F:$F</definedName>
    <definedName name="Temps_référence">'Parcours'!$B$24</definedName>
    <definedName name="Temps_référence_max">'Parcours'!$E$24</definedName>
    <definedName name="Temps_référence_min">'Parcours'!$D$24</definedName>
    <definedName name="Temps_total_en_minutes">'Parcours'!$B$23</definedName>
    <definedName name="Total_pénalités">'Pénalités'!$AX:$AX</definedName>
    <definedName name="Téléphone">'Inscriptions'!$G:$G</definedName>
    <definedName name="Ville">'Inscriptions'!$D:$D</definedName>
    <definedName name="Vitesse">'Parcours'!$B$8</definedName>
    <definedName name="Vitesse_max">'Constantes'!$C$11</definedName>
    <definedName name="Vitesse_min">'Constantes'!$B$11</definedName>
    <definedName name="écart_cible_référence">'Pénalités'!$H:$H</definedName>
    <definedName name="écart_réel_cible">'Pénalités'!$G:$G</definedName>
    <definedName name="éligibilité_CFC">'Inscriptions'!$T:$T</definedName>
    <definedName name="émargement">'émargement'!$4:$64</definedName>
    <definedName name="équipe">'Départs'!$D:$D</definedName>
    <definedName name="équipes_inscrites">'Parcours'!$B$4</definedName>
    <definedName name="équipes_partantes">'Parcours'!$B$15</definedName>
    <definedName name="équipier_1">'Inscriptions'!$I:$I</definedName>
    <definedName name="équipier_2">'Inscriptions'!$K:$K</definedName>
    <definedName name="équipier_3">'Inscriptions'!$M:$M</definedName>
    <definedName name="équipier_4">'Inscriptions'!$O:$O</definedName>
    <definedName name="équipier_5">'Inscriptions'!$P:$P</definedName>
    <definedName name="Excel_BuiltIn_Print_Area" localSheetId="1">'Parcours'!$A$1:$F$24</definedName>
    <definedName name="Excel_BuiltIn_Print_Titles" localSheetId="1">'Parcours'!$1:$2</definedName>
    <definedName name="Excel_BuiltIn__FilterDatabase" localSheetId="1">'Parcours'!$A$13:$C$13</definedName>
    <definedName name="Z_D88CBDF4_8185_4BD2_A4F5_F76B0E85001D__wvu_FilterData" localSheetId="1">'Parcours'!$A$1:$C$25</definedName>
    <definedName name="Z_D88CBDF4_8185_4BD2_A4F5_F76B0E85001D__wvu_PrintArea" localSheetId="1">'Parcours'!$A$1:$C$25</definedName>
    <definedName name="Z_D88CBDF4_8185_4BD2_A4F5_F76B0E85001D__wvu_PrintTitles" localSheetId="1">'Parcours'!$1:$2</definedName>
    <definedName name="Excel_BuiltIn_Print_Area" localSheetId="2">'Inscriptions'!$A$1:$Q$63</definedName>
    <definedName name="Excel_BuiltIn_Print_Titles" localSheetId="2">'Inscriptions'!$1:$3</definedName>
    <definedName name="Excel_BuiltIn__FilterDatabase" localSheetId="2">'Inscriptions'!$A$3:$Q$63</definedName>
    <definedName name="Z_D88CBDF4_8185_4BD2_A4F5_F76B0E85001D__wvu_PrintArea" localSheetId="2">'Inscriptions'!$A$1:$Q$63</definedName>
    <definedName name="Z_D88CBDF4_8185_4BD2_A4F5_F76B0E85001D__wvu_PrintTitles" localSheetId="2">'Inscriptions'!$1:$3</definedName>
    <definedName name="Excel_BuiltIn_Print_Area" localSheetId="3">'Départs'!$A$1:$R$63</definedName>
    <definedName name="Excel_BuiltIn_Print_Titles" localSheetId="3">('Départs'!$A:$A,'Départs'!$1:$3)</definedName>
    <definedName name="Z_D88CBDF4_8185_4BD2_A4F5_F76B0E85001D__wvu_PrintTitles" localSheetId="3">'Départs'!$1:$3</definedName>
    <definedName name="Excel_BuiltIn_Print_Area" localSheetId="4">'émargement'!$A$1:$G$64</definedName>
    <definedName name="Excel_BuiltIn_Print_Titles" localSheetId="4">'émargement'!$1:$4</definedName>
    <definedName name="Excel_BuiltIn__FilterDatabase" localSheetId="4">'émargement'!$A$3:$G$66</definedName>
    <definedName name="Excel_BuiltIn_Print_Area" localSheetId="5">'Pénalités'!$A$1:$AX$64</definedName>
    <definedName name="Excel_BuiltIn_Print_Titles" localSheetId="5">('Pénalités'!$A:$A,'Pénalités'!$1:$4)</definedName>
    <definedName name="Excel_BuiltIn__FilterDatabase" localSheetId="5">'Pénalités'!$A$4:$BB$67</definedName>
    <definedName name="Z_D88CBDF4_8185_4BD2_A4F5_F76B0E85001D__wvu_PrintArea" localSheetId="5">'Pénalités'!$A$1:$AX$64</definedName>
    <definedName name="Z_D88CBDF4_8185_4BD2_A4F5_F76B0E85001D__wvu_PrintTitles" localSheetId="5">'Pénalités'!$1:$4</definedName>
    <definedName name="Excel_BuiltIn_Print_Area" localSheetId="6">'Résultats'!$C$4:$P$63</definedName>
    <definedName name="Excel_BuiltIn_Print_Titles" localSheetId="6">'Résultats'!$1:$3</definedName>
    <definedName name="Excel_BuiltIn__FilterDatabase" localSheetId="6">'Résultats'!$C$3:$R$63</definedName>
    <definedName name="Z_D88CBDF4_8185_4BD2_A4F5_F76B0E85001D__wvu_Cols" localSheetId="6">('Résultats'!$J:$J,'Résultats'!$L:$L,'Résultats'!$N:$N,'Résultats'!$R:$R,'Résultats'!#REF!)</definedName>
    <definedName name="Z_D88CBDF4_8185_4BD2_A4F5_F76B0E85001D__wvu_PrintTitles" localSheetId="6">'Résultats'!$3:$3</definedName>
    <definedName name="Excel_BuiltIn_Print_Area" localSheetId="7">'Classement'!$B$3:$V$63</definedName>
    <definedName name="Excel_BuiltIn_Print_Titles" localSheetId="7">'Classement'!$1:$3</definedName>
    <definedName name="Excel_BuiltIn__FilterDatabase" localSheetId="7">'Classement'!$A$3:$X$63</definedName>
    <definedName name="Z_D88CBDF4_8185_4BD2_A4F5_F76B0E85001D__wvu_Cols" localSheetId="7">('Classement'!#REF!,'Classement'!#REF!,'Classement'!#REF!,'Classement'!#REF!,'Classement'!#REF!)</definedName>
    <definedName name="Z_D88CBDF4_8185_4BD2_A4F5_F76B0E85001D__wvu_PrintTitles" localSheetId="7">'Classement'!$3:$3</definedName>
    <definedName name="Excel_BuiltIn_Print_Area" localSheetId="8">'Constantes'!$A$1:$D$16</definedName>
    <definedName name="Excel_BuiltIn_Print_Area" localSheetId="10">'Analyse'!$A$3:$AS$19</definedName>
    <definedName name="Excel_BuiltIn_Print_Titles" localSheetId="10">('Analyse'!$A:$A,'Analyse'!$1:$2)</definedName>
    <definedName name="Excel_BuiltIn__FilterDatabase" localSheetId="10">'Analyse'!$E$4:$AN$9</definedName>
    <definedName name="Z_D88CBDF4_8185_4BD2_A4F5_F76B0E85001D__wvu_PrintArea" localSheetId="10">'Analyse'!$A$3:$AN$9</definedName>
    <definedName name="Z_D88CBDF4_8185_4BD2_A4F5_F76B0E85001D__wvu_PrintTitles" localSheetId="10">'Analyse'!$3:$4</definedName>
    <definedName name="__xlnm_Print_Area" localSheetId="10">'Analyse'!$A$3:$AN$9</definedName>
    <definedName name="__xlnm_Print_Titles" localSheetId="10">('Analyse'!$A:$A,'Analyse'!$3:$4)</definedName>
    <definedName name="Excel_BuiltIn_Print_Area" localSheetId="11">'Historique des modifications'!$A$1:$B$9</definedName>
    <definedName name="Excel_BuiltIn_Print_Titles" localSheetId="11">'Historique des modifications'!$1:$1</definedName>
    <definedName name="Excel_BuiltIn__FilterDatabase" localSheetId="11">'Historique des modifications'!$A$1:$B$1</definedName>
    <definedName name="Excel_BuiltIn_Print_Area" localSheetId="12">'Dictionnaire'!$A$1:$F$100</definedName>
    <definedName name="Excel_BuiltIn__FilterDatabase" localSheetId="12">'Dictionnaire'!$C$1:$C$106</definedName>
  </definedNames>
  <calcPr fullCalcOnLoad="1"/>
</workbook>
</file>

<file path=xl/comments3.xml><?xml version="1.0" encoding="utf-8"?>
<comments xmlns="http://schemas.openxmlformats.org/spreadsheetml/2006/main">
  <authors>
    <author> </author>
  </authors>
  <commentList>
    <comment ref="A3" authorId="0">
      <text>
        <r>
          <rPr>
            <b/>
            <i/>
            <sz val="9"/>
            <color indexed="8"/>
            <rFont val="Tahoma"/>
            <family val="2"/>
          </rPr>
          <t xml:space="preserve">obligatoire
</t>
        </r>
        <r>
          <rPr>
            <i/>
            <sz val="9"/>
            <color indexed="8"/>
            <rFont val="Tahoma"/>
            <family val="2"/>
          </rPr>
          <t>si non renseignée recopier ici le nom du capitaine</t>
        </r>
      </text>
    </comment>
    <comment ref="C3" authorId="0">
      <text>
        <r>
          <rPr>
            <b/>
            <i/>
            <sz val="9"/>
            <color indexed="8"/>
            <rFont val="Tahoma"/>
            <family val="2"/>
          </rPr>
          <t xml:space="preserve">obligatoire
</t>
        </r>
        <r>
          <rPr>
            <i/>
            <sz val="9"/>
            <color indexed="8"/>
            <rFont val="Tahoma"/>
            <family val="2"/>
          </rPr>
          <t>à défaut indiquer par exemple "indépendant" ,    "RandoPass" ...</t>
        </r>
      </text>
    </comment>
  </commentList>
</comments>
</file>

<file path=xl/comments4.xml><?xml version="1.0" encoding="utf-8"?>
<comments xmlns="http://schemas.openxmlformats.org/spreadsheetml/2006/main">
  <authors>
    <author> </author>
  </authors>
  <commentList>
    <comment ref="A3" authorId="0">
      <text>
        <r>
          <rPr>
            <i/>
            <sz val="8"/>
            <color indexed="8"/>
            <rFont val="Tahoma"/>
            <family val="2"/>
          </rPr>
          <t>numéro de dossard (modifiable) généré en fonction du créneau horaire</t>
        </r>
      </text>
    </comment>
    <comment ref="C3" authorId="0">
      <text>
        <r>
          <rPr>
            <i/>
            <sz val="8"/>
            <color indexed="8"/>
            <rFont val="Tahoma"/>
            <family val="2"/>
          </rPr>
          <t>créneaux non modifiables</t>
        </r>
      </text>
    </comment>
    <comment ref="D3" authorId="0">
      <text>
        <r>
          <rPr>
            <i/>
            <sz val="8"/>
            <color indexed="8"/>
            <rFont val="Tahoma"/>
            <family val="2"/>
          </rPr>
          <t xml:space="preserve">copier/coller les noms d'équipes depuis la feuille </t>
        </r>
        <r>
          <rPr>
            <b/>
            <i/>
            <sz val="8"/>
            <color indexed="8"/>
            <rFont val="Tahoma"/>
            <family val="2"/>
          </rPr>
          <t xml:space="preserve">Inscriptions
</t>
        </r>
        <r>
          <rPr>
            <i/>
            <sz val="8"/>
            <color indexed="8"/>
            <rFont val="Tahoma"/>
            <family val="2"/>
          </rPr>
          <t>Pour changer l'heure de départ d'une équipe : l'effacer et copier son nom ailleurs -</t>
        </r>
        <r>
          <rPr>
            <b/>
            <i/>
            <sz val="8"/>
            <color indexed="8"/>
            <rFont val="Tahoma"/>
            <family val="2"/>
          </rPr>
          <t xml:space="preserve"> ne jamais la déplacer par </t>
        </r>
        <r>
          <rPr>
            <b/>
            <sz val="8"/>
            <color indexed="8"/>
            <rFont val="Tahoma"/>
            <family val="2"/>
          </rPr>
          <t>ctrl+x</t>
        </r>
      </text>
    </comment>
    <comment ref="E3" authorId="0">
      <text>
        <r>
          <rPr>
            <i/>
            <sz val="8"/>
            <color indexed="8"/>
            <rFont val="Tahoma"/>
            <family val="2"/>
          </rPr>
          <t>les colonnes suivantes sont recopiées automatiquement de la feuille</t>
        </r>
        <r>
          <rPr>
            <b/>
            <i/>
            <sz val="8"/>
            <color indexed="8"/>
            <rFont val="Tahoma"/>
            <family val="2"/>
          </rPr>
          <t xml:space="preserve"> Inscriptions</t>
        </r>
      </text>
    </comment>
  </commentList>
</comments>
</file>

<file path=xl/comments6.xml><?xml version="1.0" encoding="utf-8"?>
<comments xmlns="http://schemas.openxmlformats.org/spreadsheetml/2006/main">
  <authors>
    <author> </author>
  </authors>
  <commentList>
    <comment ref="A3" authorId="0">
      <text>
        <r>
          <rPr>
            <i/>
            <sz val="8"/>
            <color indexed="8"/>
            <rFont val="Tahoma"/>
            <family val="2"/>
          </rPr>
          <t xml:space="preserve">saisir les numéros au fur et à mesure des dépouillements (l'ordre n'a aucune importance)
</t>
        </r>
      </text>
    </comment>
    <comment ref="L4" authorId="0">
      <text>
        <r>
          <rPr>
            <i/>
            <sz val="8"/>
            <color indexed="8"/>
            <rFont val="Tahoma"/>
            <family val="2"/>
          </rPr>
          <t xml:space="preserve">toute borne manquante doit être marquée "mal placée"
</t>
        </r>
      </text>
    </comment>
    <comment ref="AC4" authorId="0">
      <text>
        <r>
          <rPr>
            <i/>
            <sz val="8"/>
            <color indexed="8"/>
            <rFont val="Tahoma"/>
            <family val="2"/>
          </rPr>
          <t xml:space="preserve">le nombre de bornes mal placées doit être supérieur ou égal au nombre de bornes manquantes
</t>
        </r>
      </text>
    </comment>
    <comment ref="AD4" authorId="0">
      <text>
        <r>
          <rPr>
            <i/>
            <sz val="8"/>
            <color indexed="8"/>
            <rFont val="Tahoma"/>
            <family val="2"/>
          </rPr>
          <t xml:space="preserve">le total est </t>
        </r>
        <r>
          <rPr>
            <b/>
            <i/>
            <sz val="8"/>
            <color indexed="8"/>
            <rFont val="Tahoma"/>
            <family val="2"/>
          </rPr>
          <t xml:space="preserve">invalidé </t>
        </r>
        <r>
          <rPr>
            <i/>
            <sz val="8"/>
            <color indexed="8"/>
            <rFont val="Tahoma"/>
            <family val="2"/>
          </rPr>
          <t xml:space="preserve">tant que la colonne "correction" n'est pas à 0
</t>
        </r>
      </text>
    </comment>
  </commentList>
</comments>
</file>

<file path=xl/comments7.xml><?xml version="1.0" encoding="utf-8"?>
<comments xmlns="http://schemas.openxmlformats.org/spreadsheetml/2006/main">
  <authors>
    <author> </author>
  </authors>
  <commentList>
    <comment ref="A3" authorId="0">
      <text>
        <r>
          <rPr>
            <i/>
            <sz val="8"/>
            <color indexed="8"/>
            <rFont val="Tahoma"/>
            <family val="2"/>
          </rPr>
          <t>ne pas afficher ni imprimer</t>
        </r>
      </text>
    </comment>
    <comment ref="B3" authorId="0">
      <text>
        <r>
          <rPr>
            <i/>
            <sz val="8"/>
            <color indexed="8"/>
            <rFont val="Tahoma"/>
            <family val="2"/>
          </rPr>
          <t>ne pas afficher ni imprimer</t>
        </r>
      </text>
    </comment>
    <comment ref="C3" authorId="0">
      <text>
        <r>
          <rPr>
            <i/>
            <sz val="8"/>
            <color indexed="8"/>
            <rFont val="Tahoma"/>
            <family val="2"/>
          </rPr>
          <t xml:space="preserve">les numéros sont affichés ici dans le même ordre que sur la feuille </t>
        </r>
        <r>
          <rPr>
            <b/>
            <i/>
            <sz val="8"/>
            <color indexed="8"/>
            <rFont val="Tahoma"/>
            <family val="2"/>
          </rPr>
          <t xml:space="preserve">Pénalités
</t>
        </r>
      </text>
    </comment>
    <comment ref="I2" authorId="0">
      <text>
        <r>
          <rPr>
            <i/>
            <sz val="8"/>
            <color indexed="8"/>
            <rFont val="Tahoma"/>
            <family val="2"/>
          </rPr>
          <t xml:space="preserve">cette feuille de résultats provisoires, après validation par l'arbitre, devient définitive : voir ensuite la feuille </t>
        </r>
        <r>
          <rPr>
            <b/>
            <i/>
            <sz val="8"/>
            <color indexed="8"/>
            <rFont val="Tahoma"/>
            <family val="2"/>
          </rPr>
          <t xml:space="preserve">Classement </t>
        </r>
        <r>
          <rPr>
            <i/>
            <sz val="8"/>
            <color indexed="8"/>
            <rFont val="Tahoma"/>
            <family val="2"/>
          </rPr>
          <t>triée</t>
        </r>
      </text>
    </comment>
    <comment ref="R3" authorId="0">
      <text>
        <r>
          <rPr>
            <i/>
            <sz val="8"/>
            <color indexed="8"/>
            <rFont val="Tahoma"/>
            <family val="2"/>
          </rPr>
          <t xml:space="preserve">le classement général est effectué d'après cette colonne
</t>
        </r>
      </text>
    </comment>
    <comment ref="S3" authorId="0">
      <text>
        <r>
          <rPr>
            <i/>
            <sz val="8"/>
            <color indexed="8"/>
            <rFont val="Tahoma"/>
            <family val="2"/>
          </rPr>
          <t xml:space="preserve">ne pas afficher ni imprimer
</t>
        </r>
      </text>
    </comment>
  </commentList>
</comments>
</file>

<file path=xl/comments8.xml><?xml version="1.0" encoding="utf-8"?>
<comments xmlns="http://schemas.openxmlformats.org/spreadsheetml/2006/main">
  <authors>
    <author> </author>
  </authors>
  <commentList>
    <comment ref="B3" authorId="0">
      <text>
        <r>
          <rPr>
            <b/>
            <sz val="10"/>
            <color indexed="10"/>
            <rFont val="Tahoma"/>
            <family val="2"/>
          </rPr>
          <t xml:space="preserve">IMPORTANT
</t>
        </r>
        <r>
          <rPr>
            <i/>
            <sz val="10"/>
            <color indexed="8"/>
            <rFont val="Tahoma"/>
            <family val="2"/>
          </rPr>
          <t xml:space="preserve">ne pas afficher cette feuille 
tant que la feuille </t>
        </r>
        <r>
          <rPr>
            <b/>
            <i/>
            <sz val="10"/>
            <color indexed="8"/>
            <rFont val="Tahoma"/>
            <family val="2"/>
          </rPr>
          <t xml:space="preserve">Résultats 
</t>
        </r>
        <r>
          <rPr>
            <i/>
            <sz val="10"/>
            <color indexed="8"/>
            <rFont val="Tahoma"/>
            <family val="2"/>
          </rPr>
          <t xml:space="preserve">n'est pas validée
</t>
        </r>
      </text>
    </comment>
    <comment ref="V3" authorId="0">
      <text>
        <r>
          <rPr>
            <i/>
            <sz val="9"/>
            <color indexed="8"/>
            <rFont val="Tahoma"/>
            <family val="2"/>
          </rPr>
          <t xml:space="preserve">sous réserve de validation par le groupe fédéral Rando Challenge
</t>
        </r>
      </text>
    </comment>
  </commentList>
</comments>
</file>

<file path=xl/sharedStrings.xml><?xml version="1.0" encoding="utf-8"?>
<sst xmlns="http://schemas.openxmlformats.org/spreadsheetml/2006/main" count="785" uniqueCount="509">
  <si>
    <t>Classeur de calcul Rando challenge®  version 2020-2024</t>
  </si>
  <si>
    <t>Instructions d'utilisation</t>
  </si>
  <si>
    <r>
      <rPr>
        <sz val="11"/>
        <color indexed="8"/>
        <rFont val="Calibri"/>
        <family val="2"/>
      </rPr>
      <t xml:space="preserve">Ce classeur vous permet de gérer de bout en bout 
les inscriptions, l'ordre des </t>
    </r>
    <r>
      <rPr>
        <b/>
        <sz val="11"/>
        <color indexed="8"/>
        <rFont val="Calibri"/>
        <family val="2"/>
      </rPr>
      <t>départs</t>
    </r>
    <r>
      <rPr>
        <sz val="11"/>
        <color indexed="8"/>
        <rFont val="Calibri"/>
        <family val="2"/>
      </rPr>
      <t xml:space="preserve">, la saisie des </t>
    </r>
    <r>
      <rPr>
        <b/>
        <sz val="11"/>
        <color indexed="8"/>
        <rFont val="Calibri"/>
        <family val="2"/>
      </rPr>
      <t>pénalités</t>
    </r>
    <r>
      <rPr>
        <sz val="11"/>
        <color indexed="8"/>
        <rFont val="Calibri"/>
        <family val="2"/>
      </rPr>
      <t xml:space="preserve">, le calcul des </t>
    </r>
    <r>
      <rPr>
        <b/>
        <sz val="11"/>
        <color indexed="8"/>
        <rFont val="Calibri"/>
        <family val="2"/>
      </rPr>
      <t>résultats</t>
    </r>
    <r>
      <rPr>
        <sz val="11"/>
        <color indexed="8"/>
        <rFont val="Calibri"/>
        <family val="2"/>
      </rPr>
      <t xml:space="preserve"> (et leur </t>
    </r>
    <r>
      <rPr>
        <b/>
        <sz val="11"/>
        <color indexed="8"/>
        <rFont val="Calibri"/>
        <family val="2"/>
      </rPr>
      <t>analyse</t>
    </r>
    <r>
      <rPr>
        <sz val="11"/>
        <color indexed="8"/>
        <rFont val="Calibri"/>
        <family val="2"/>
      </rPr>
      <t xml:space="preserve">) et le </t>
    </r>
    <r>
      <rPr>
        <b/>
        <sz val="11"/>
        <color indexed="8"/>
        <rFont val="Calibri"/>
        <family val="2"/>
      </rPr>
      <t>classement</t>
    </r>
    <r>
      <rPr>
        <sz val="11"/>
        <color indexed="8"/>
        <rFont val="Calibri"/>
        <family val="2"/>
      </rPr>
      <t xml:space="preserve"> 
d'une épreuve de Rando Challenge .
Les différentes feuilles s'utilisent successivement de la gauche vers la droite.</t>
    </r>
  </si>
  <si>
    <t xml:space="preserve">Les cases modifiables ont des en-têtes sur fond vert, </t>
  </si>
  <si>
    <t>Les cases à remplir obligatoirement sont sur fond rouge</t>
  </si>
  <si>
    <r>
      <rPr>
        <sz val="11"/>
        <rFont val="Calibri"/>
        <family val="2"/>
      </rPr>
      <t xml:space="preserve">les cases non modifiables ont des en-têtes sur fond beige
</t>
    </r>
    <r>
      <rPr>
        <i/>
        <sz val="11"/>
        <rFont val="Calibri"/>
        <family val="2"/>
      </rPr>
      <t>(elles proviennent d'autres feuilles ou sont calculées localement)</t>
    </r>
    <r>
      <rPr>
        <sz val="11"/>
        <rFont val="Calibri"/>
        <family val="2"/>
      </rPr>
      <t>;</t>
    </r>
  </si>
  <si>
    <t>(elles proviennent d'autres feuilles ou sont calculées localement)</t>
  </si>
  <si>
    <t>les cases contenant des constantes sont sur fond jaune</t>
  </si>
  <si>
    <r>
      <rPr>
        <sz val="11"/>
        <rFont val="Calibri"/>
        <family val="2"/>
      </rPr>
      <t>les valeurs</t>
    </r>
    <r>
      <rPr>
        <b/>
        <sz val="11"/>
        <color indexed="14"/>
        <rFont val="Calibri"/>
        <family val="2"/>
      </rPr>
      <t xml:space="preserve"> inscrites en violet</t>
    </r>
    <r>
      <rPr>
        <sz val="11"/>
        <rFont val="Calibri"/>
        <family val="2"/>
      </rPr>
      <t xml:space="preserve"> (ou sur fond violet) attirent l'attention de l'arbitre mais ne sont pas bloquantes</t>
    </r>
  </si>
  <si>
    <r>
      <rPr>
        <sz val="11"/>
        <color indexed="9"/>
        <rFont val="Calibri"/>
        <family val="2"/>
      </rPr>
      <t xml:space="preserve">Les valeurs affichées en </t>
    </r>
    <r>
      <rPr>
        <b/>
        <sz val="11"/>
        <color indexed="10"/>
        <rFont val="Calibri"/>
        <family val="2"/>
      </rPr>
      <t>ROUGE</t>
    </r>
    <r>
      <rPr>
        <sz val="11"/>
        <color indexed="10"/>
        <rFont val="Calibri"/>
        <family val="2"/>
      </rPr>
      <t xml:space="preserve"> </t>
    </r>
    <r>
      <rPr>
        <sz val="11"/>
        <color indexed="9"/>
        <rFont val="Calibri"/>
        <family val="2"/>
      </rPr>
      <t xml:space="preserve">sur fond noir </t>
    </r>
    <r>
      <rPr>
        <b/>
        <sz val="11"/>
        <color indexed="10"/>
        <rFont val="Calibri"/>
        <family val="2"/>
      </rPr>
      <t>DOIVENT ÊTRE CORRIGEES</t>
    </r>
  </si>
  <si>
    <t>feuille  Parcours</t>
  </si>
  <si>
    <r>
      <rPr>
        <sz val="11"/>
        <color indexed="8"/>
        <rFont val="Calibri"/>
        <family val="2"/>
      </rPr>
      <t xml:space="preserve">Indiquer le libellé de l'épreuve, les noms des organisateurs, le </t>
    </r>
    <r>
      <rPr>
        <b/>
        <sz val="11"/>
        <color indexed="8"/>
        <rFont val="Calibri"/>
        <family val="2"/>
      </rPr>
      <t>niveau</t>
    </r>
    <r>
      <rPr>
        <sz val="11"/>
        <color indexed="8"/>
        <rFont val="Calibri"/>
        <family val="2"/>
      </rPr>
      <t xml:space="preserve"> (championnat, découverte, autre).</t>
    </r>
  </si>
  <si>
    <r>
      <rPr>
        <sz val="11"/>
        <color indexed="8"/>
        <rFont val="Calibri"/>
        <family val="2"/>
      </rPr>
      <t xml:space="preserve">Saisir le nombre de bornes et les données du parcours : la </t>
    </r>
    <r>
      <rPr>
        <b/>
        <sz val="11"/>
        <color indexed="8"/>
        <rFont val="Calibri"/>
        <family val="2"/>
      </rPr>
      <t>distance</t>
    </r>
    <r>
      <rPr>
        <sz val="11"/>
        <color indexed="8"/>
        <rFont val="Calibri"/>
        <family val="2"/>
      </rPr>
      <t xml:space="preserve"> et la </t>
    </r>
    <r>
      <rPr>
        <b/>
        <sz val="11"/>
        <color indexed="8"/>
        <rFont val="Calibri"/>
        <family val="2"/>
      </rPr>
      <t>dénivelée</t>
    </r>
    <r>
      <rPr>
        <sz val="11"/>
        <color indexed="8"/>
        <rFont val="Calibri"/>
        <family val="2"/>
      </rPr>
      <t xml:space="preserve"> </t>
    </r>
    <r>
      <rPr>
        <b/>
        <sz val="11"/>
        <color indexed="8"/>
        <rFont val="Calibri"/>
        <family val="2"/>
      </rPr>
      <t xml:space="preserve">exactes doivent être relevées manuellement sur la carte du parcours </t>
    </r>
    <r>
      <rPr>
        <b/>
        <sz val="11"/>
        <color indexed="10"/>
        <rFont val="Calibri"/>
        <family val="2"/>
      </rPr>
      <t>(</t>
    </r>
    <r>
      <rPr>
        <sz val="11"/>
        <color indexed="10"/>
        <rFont val="Calibri"/>
        <family val="2"/>
      </rPr>
      <t xml:space="preserve">il ne faut </t>
    </r>
    <r>
      <rPr>
        <b/>
        <sz val="11"/>
        <color indexed="10"/>
        <rFont val="Calibri"/>
        <family val="2"/>
      </rPr>
      <t>pas</t>
    </r>
    <r>
      <rPr>
        <sz val="11"/>
        <color indexed="10"/>
        <rFont val="Calibri"/>
        <family val="2"/>
      </rPr>
      <t xml:space="preserve"> les arrondir).</t>
    </r>
  </si>
  <si>
    <t>Renseigner l'heure du premier départ, l'intervalle entre les départs successifs, éventuellement une heure limite d'arrivée.</t>
  </si>
  <si>
    <t>feuille  Inscriptions</t>
  </si>
  <si>
    <t xml:space="preserve">Entrer ici les informations administratives relatives aux équipes, dans l'ordre de leurs inscriptions, au fur et à mesure qu'elles vous parviennent. 
</t>
  </si>
  <si>
    <r>
      <rPr>
        <sz val="11"/>
        <color indexed="8"/>
        <rFont val="Calibri"/>
        <family val="2"/>
      </rPr>
      <t>NB: pour une épreuve labellisée "championnat", une équipe pourra marquer des points (colonne "</t>
    </r>
    <r>
      <rPr>
        <b/>
        <sz val="11"/>
        <color indexed="8"/>
        <rFont val="Calibri"/>
        <family val="2"/>
      </rPr>
      <t>éligibilité</t>
    </r>
    <r>
      <rPr>
        <sz val="11"/>
        <color indexed="8"/>
        <rFont val="Calibri"/>
        <family val="2"/>
      </rPr>
      <t>") si et seulement si :
- son club est identifié (par son numéro d'affiliation),
- elle est composée de 2, 3 ou 4 personnes,
- les numéros de licence de tous ses membres ont été fournis.</t>
    </r>
  </si>
  <si>
    <t>Il est inutile (et déconseillé) de supprimer de la feuille Inscriptions une équipe inscrite qui ne se présenterait pas au départ.</t>
  </si>
  <si>
    <t>feuille  Départs</t>
  </si>
  <si>
    <r>
      <rPr>
        <sz val="11"/>
        <color indexed="8"/>
        <rFont val="Calibri"/>
        <family val="2"/>
      </rPr>
      <t xml:space="preserve">Le </t>
    </r>
    <r>
      <rPr>
        <b/>
        <sz val="11"/>
        <color indexed="8"/>
        <rFont val="Calibri"/>
        <family val="2"/>
      </rPr>
      <t>nom</t>
    </r>
    <r>
      <rPr>
        <sz val="11"/>
        <color indexed="8"/>
        <rFont val="Calibri"/>
        <family val="2"/>
      </rPr>
      <t xml:space="preserve"> de chaque équipe est à copier/coller depuis la feuille </t>
    </r>
    <r>
      <rPr>
        <b/>
        <sz val="11"/>
        <color indexed="30"/>
        <rFont val="Calibri"/>
        <family val="2"/>
      </rPr>
      <t>Inscriptions</t>
    </r>
    <r>
      <rPr>
        <b/>
        <sz val="11"/>
        <color indexed="8"/>
        <rFont val="Calibri"/>
        <family val="2"/>
      </rPr>
      <t xml:space="preserve"> </t>
    </r>
    <r>
      <rPr>
        <sz val="11"/>
        <color indexed="8"/>
        <rFont val="Calibri"/>
        <family val="2"/>
      </rPr>
      <t xml:space="preserve">dans l'ordre qui vous convient </t>
    </r>
    <r>
      <rPr>
        <b/>
        <sz val="11"/>
        <color indexed="8"/>
        <rFont val="Calibri"/>
        <family val="2"/>
      </rPr>
      <t xml:space="preserve">(en n'oubliant pas de séparer 2 équipes d'un même club par au moins 2 autres équipes, </t>
    </r>
    <r>
      <rPr>
        <sz val="11"/>
        <color indexed="8"/>
        <rFont val="Calibri"/>
        <family val="2"/>
      </rPr>
      <t>idéalement de 20 minutes)</t>
    </r>
    <r>
      <rPr>
        <b/>
        <sz val="11"/>
        <color indexed="8"/>
        <rFont val="Calibri"/>
        <family val="2"/>
      </rPr>
      <t>.</t>
    </r>
  </si>
  <si>
    <r>
      <rPr>
        <b/>
        <sz val="11"/>
        <color indexed="8"/>
        <rFont val="Calibri"/>
        <family val="2"/>
      </rPr>
      <t>Un numéro de dossard</t>
    </r>
    <r>
      <rPr>
        <sz val="11"/>
        <color indexed="8"/>
        <rFont val="Calibri"/>
        <family val="2"/>
      </rPr>
      <t xml:space="preserve"> (qui servira de référence par la suite) et d'une </t>
    </r>
    <r>
      <rPr>
        <b/>
        <sz val="11"/>
        <color indexed="8"/>
        <rFont val="Calibri"/>
        <family val="2"/>
      </rPr>
      <t>heure de départ sont attribués</t>
    </r>
    <r>
      <rPr>
        <sz val="11"/>
        <color indexed="8"/>
        <rFont val="Calibri"/>
        <family val="2"/>
      </rPr>
      <t xml:space="preserve"> à chaque équipe, selon le créneau où son nom est saisi. 
La colonne "</t>
    </r>
    <r>
      <rPr>
        <b/>
        <sz val="11"/>
        <color indexed="8"/>
        <rFont val="Calibri"/>
        <family val="2"/>
      </rPr>
      <t>heure de départ</t>
    </r>
    <r>
      <rPr>
        <sz val="11"/>
        <color indexed="8"/>
        <rFont val="Calibri"/>
        <family val="2"/>
      </rPr>
      <t>" n'est pas modifiable ; la colonne "</t>
    </r>
    <r>
      <rPr>
        <b/>
        <sz val="11"/>
        <color indexed="8"/>
        <rFont val="Calibri"/>
        <family val="2"/>
      </rPr>
      <t>dossard</t>
    </r>
    <r>
      <rPr>
        <sz val="11"/>
        <color indexed="8"/>
        <rFont val="Calibri"/>
        <family val="2"/>
      </rPr>
      <t>" peut l'être (attention toutefois aux conséquences en cas de déplacement d'une équipe d'un créneau à l'autre).</t>
    </r>
  </si>
  <si>
    <t>Le remplissage automatique des autres cellules permet à l'accueil de vérifier les licences et/ou les numéros de portable des capitaines.</t>
  </si>
  <si>
    <r>
      <rPr>
        <sz val="11"/>
        <color indexed="8"/>
        <rFont val="Calibri"/>
        <family val="2"/>
      </rPr>
      <t xml:space="preserve">Le nom d'une équipe qui ne se présente pas au départ doit être effacé (il disparaît des feuilles suivantes mais reste conservé dans la feuille </t>
    </r>
    <r>
      <rPr>
        <b/>
        <sz val="11"/>
        <color indexed="12"/>
        <rFont val="Calibri"/>
        <family val="2"/>
      </rPr>
      <t>Inscriptions</t>
    </r>
    <r>
      <rPr>
        <sz val="11"/>
        <color indexed="8"/>
        <rFont val="Calibri"/>
        <family val="2"/>
      </rPr>
      <t>).</t>
    </r>
  </si>
  <si>
    <t>feuille émargement</t>
  </si>
  <si>
    <r>
      <rPr>
        <sz val="11"/>
        <color indexed="8"/>
        <rFont val="Calibri"/>
        <family val="2"/>
      </rPr>
      <t xml:space="preserve">Une fois que les dossards et heures de départ ont été attribués sur la feuille </t>
    </r>
    <r>
      <rPr>
        <b/>
        <sz val="11"/>
        <color indexed="8"/>
        <rFont val="Calibri"/>
        <family val="2"/>
      </rPr>
      <t>Départs</t>
    </r>
    <r>
      <rPr>
        <sz val="11"/>
        <color indexed="8"/>
        <rFont val="Calibri"/>
        <family val="2"/>
      </rPr>
      <t>, cette feuille peut être imprimée et  s'utilisera en plusieurs temps : 
elle sera signée par les capitaines d'équipes au départ après annonce de leur temps cible ; 
puis à nouveau signée au retour après enregistrement de l'heure réelle ou déclarée d'arrivée ;
une fois les données</t>
    </r>
    <r>
      <rPr>
        <b/>
        <sz val="11"/>
        <color indexed="8"/>
        <rFont val="Calibri"/>
        <family val="2"/>
      </rPr>
      <t xml:space="preserve"> Temps cible</t>
    </r>
    <r>
      <rPr>
        <sz val="11"/>
        <color indexed="8"/>
        <rFont val="Calibri"/>
        <family val="2"/>
      </rPr>
      <t xml:space="preserve"> et </t>
    </r>
    <r>
      <rPr>
        <b/>
        <sz val="11"/>
        <color indexed="8"/>
        <rFont val="Calibri"/>
        <family val="2"/>
      </rPr>
      <t>Heure d'arrivée</t>
    </r>
    <r>
      <rPr>
        <sz val="11"/>
        <color indexed="8"/>
        <rFont val="Calibri"/>
        <family val="2"/>
      </rPr>
      <t xml:space="preserve"> enregistrées, le calcul des pénalités temps s'effectue automiquement sur la feuille </t>
    </r>
    <r>
      <rPr>
        <b/>
        <sz val="11"/>
        <color indexed="8"/>
        <rFont val="Calibri"/>
        <family val="2"/>
      </rPr>
      <t>Pénalités</t>
    </r>
    <r>
      <rPr>
        <sz val="11"/>
        <color indexed="8"/>
        <rFont val="Calibri"/>
        <family val="2"/>
      </rPr>
      <t>.</t>
    </r>
  </si>
  <si>
    <t>feuille Pénalités</t>
  </si>
  <si>
    <r>
      <rPr>
        <sz val="11"/>
        <color indexed="8"/>
        <rFont val="Calibri"/>
        <family val="2"/>
      </rPr>
      <t xml:space="preserve">En premier lieu saisir le </t>
    </r>
    <r>
      <rPr>
        <b/>
        <sz val="11"/>
        <color indexed="8"/>
        <rFont val="Calibri"/>
        <family val="2"/>
      </rPr>
      <t>numéro de dossard</t>
    </r>
    <r>
      <rPr>
        <sz val="11"/>
        <color indexed="8"/>
        <rFont val="Calibri"/>
        <family val="2"/>
      </rPr>
      <t xml:space="preserve"> : le nom de l'équipe s'affiche, ainsi que les pénalités temps issues de la feuille </t>
    </r>
    <r>
      <rPr>
        <b/>
        <sz val="11"/>
        <color indexed="8"/>
        <rFont val="Calibri"/>
        <family val="2"/>
      </rPr>
      <t>émargement</t>
    </r>
    <r>
      <rPr>
        <sz val="11"/>
        <color indexed="8"/>
        <rFont val="Calibri"/>
        <family val="2"/>
      </rPr>
      <t>.</t>
    </r>
  </si>
  <si>
    <r>
      <rPr>
        <sz val="11"/>
        <color indexed="8"/>
        <rFont val="Calibri"/>
        <family val="2"/>
      </rPr>
      <t xml:space="preserve">Indiquer le </t>
    </r>
    <r>
      <rPr>
        <b/>
        <sz val="11"/>
        <color indexed="8"/>
        <rFont val="Calibri"/>
        <family val="2"/>
      </rPr>
      <t xml:space="preserve">nombre de marques </t>
    </r>
    <r>
      <rPr>
        <sz val="11"/>
        <color indexed="8"/>
        <rFont val="Calibri"/>
        <family val="2"/>
      </rPr>
      <t xml:space="preserve">de pointage avant de procéder à l'examen de chaque borne. </t>
    </r>
  </si>
  <si>
    <r>
      <rPr>
        <sz val="11"/>
        <rFont val="Calibri"/>
        <family val="2"/>
      </rPr>
      <t>Toute borne manquante doit être notée "mal placée".</t>
    </r>
    <r>
      <rPr>
        <sz val="11"/>
        <color indexed="8"/>
        <rFont val="Calibri"/>
        <family val="2"/>
      </rPr>
      <t xml:space="preserve"> Au cas où le nombre de bornes mal placées est inférieur au nombre de bornes manquantes la différence est signalée dans la colonne Correction. </t>
    </r>
    <r>
      <rPr>
        <sz val="11"/>
        <color indexed="10"/>
        <rFont val="Calibri"/>
        <family val="2"/>
      </rPr>
      <t xml:space="preserve">En cas d'incohérence la pénalité Bornes est forcée à 999 pour attirer l'attention ! 
</t>
    </r>
    <r>
      <rPr>
        <sz val="11"/>
        <rFont val="Calibri"/>
        <family val="2"/>
      </rPr>
      <t>(</t>
    </r>
    <r>
      <rPr>
        <sz val="11"/>
        <color indexed="8"/>
        <rFont val="Calibri"/>
        <family val="2"/>
      </rPr>
      <t>vérifier le pointage de toutes les bornes avec le cache et corriger celles oubliées)</t>
    </r>
  </si>
  <si>
    <r>
      <rPr>
        <b/>
        <sz val="11"/>
        <color indexed="8"/>
        <rFont val="Calibri"/>
        <family val="2"/>
      </rPr>
      <t xml:space="preserve">POUR ANNULER UNE BORNE ET/OU UNE ACM : </t>
    </r>
    <r>
      <rPr>
        <sz val="11"/>
        <color indexed="8"/>
        <rFont val="Calibri"/>
        <family val="2"/>
      </rPr>
      <t>il suffit d'effacer son numéro (le fond de case passe en beige) Si des pénalités ont déjà été saisies dans la colonne correspondante, elles apparaissent en erreur (</t>
    </r>
    <r>
      <rPr>
        <sz val="11"/>
        <color indexed="10"/>
        <rFont val="Calibri"/>
        <family val="2"/>
      </rPr>
      <t>rouge</t>
    </r>
    <r>
      <rPr>
        <sz val="11"/>
        <color indexed="8"/>
        <rFont val="Calibri"/>
        <family val="2"/>
      </rPr>
      <t xml:space="preserve"> sur fond noir) et doivent être effacées.</t>
    </r>
  </si>
  <si>
    <t>feuille  Résultats</t>
  </si>
  <si>
    <r>
      <rPr>
        <sz val="11"/>
        <color indexed="8"/>
        <rFont val="Calibri"/>
        <family val="2"/>
      </rPr>
      <t xml:space="preserve">Cette feuille permet d'afficher (ou communiquer à chaque équipe) les résultats </t>
    </r>
    <r>
      <rPr>
        <b/>
        <sz val="11"/>
        <color indexed="8"/>
        <rFont val="Calibri"/>
        <family val="2"/>
      </rPr>
      <t>provisoires</t>
    </r>
    <r>
      <rPr>
        <sz val="11"/>
        <color indexed="8"/>
        <rFont val="Calibri"/>
        <family val="2"/>
      </rPr>
      <t xml:space="preserve">. </t>
    </r>
  </si>
  <si>
    <r>
      <rPr>
        <sz val="11"/>
        <color indexed="8"/>
        <rFont val="Calibri"/>
        <family val="2"/>
      </rPr>
      <t>Après signature de l'arbitre on utilisera la feuille suivante (</t>
    </r>
    <r>
      <rPr>
        <b/>
        <sz val="11"/>
        <color indexed="30"/>
        <rFont val="Calibri"/>
        <family val="2"/>
      </rPr>
      <t>Classement</t>
    </r>
    <r>
      <rPr>
        <sz val="11"/>
        <color indexed="8"/>
        <rFont val="Calibri"/>
        <family val="2"/>
      </rPr>
      <t>) pour afficher et proclamer le classement définitif.</t>
    </r>
  </si>
  <si>
    <r>
      <rPr>
        <sz val="11"/>
        <color indexed="8"/>
        <rFont val="Calibri"/>
        <family val="2"/>
      </rPr>
      <t xml:space="preserve">Les ex-aequos sont départagés premièrement selon leur positionnement des bornes, secondement selon leurs pénalités temps. 
Les équipes </t>
    </r>
    <r>
      <rPr>
        <b/>
        <sz val="11"/>
        <color indexed="8"/>
        <rFont val="Calibri"/>
        <family val="2"/>
      </rPr>
      <t>non départagées</t>
    </r>
    <r>
      <rPr>
        <sz val="11"/>
        <color indexed="8"/>
        <rFont val="Calibri"/>
        <family val="2"/>
      </rPr>
      <t xml:space="preserve"> sont </t>
    </r>
    <r>
      <rPr>
        <b/>
        <sz val="11"/>
        <color indexed="14"/>
        <rFont val="Calibri"/>
        <family val="2"/>
      </rPr>
      <t xml:space="preserve">affichées en violet : </t>
    </r>
    <r>
      <rPr>
        <sz val="11"/>
        <rFont val="Calibri"/>
        <family val="2"/>
      </rPr>
      <t xml:space="preserve">les cellules concernées de la colonne </t>
    </r>
    <r>
      <rPr>
        <b/>
        <i/>
        <sz val="11"/>
        <rFont val="Calibri"/>
        <family val="2"/>
      </rPr>
      <t>Question subsidiaire</t>
    </r>
    <r>
      <rPr>
        <sz val="11"/>
        <rFont val="Calibri"/>
        <family val="2"/>
      </rPr>
      <t xml:space="preserve"> sont affichées avec un </t>
    </r>
    <r>
      <rPr>
        <b/>
        <sz val="11"/>
        <color indexed="10"/>
        <rFont val="Calibri"/>
        <family val="2"/>
      </rPr>
      <t xml:space="preserve">fond rouge </t>
    </r>
    <r>
      <rPr>
        <sz val="11"/>
        <rFont val="Calibri"/>
        <family val="2"/>
      </rPr>
      <t>; saisir les résultats à cette question : le score le plus faible l'emporte.</t>
    </r>
  </si>
  <si>
    <t>feuille Classement</t>
  </si>
  <si>
    <r>
      <rPr>
        <sz val="11"/>
        <color indexed="8"/>
        <rFont val="Calibri"/>
        <family val="2"/>
      </rPr>
      <t xml:space="preserve">(sauf niveau "Découverte")
Affichage dans l'ordre des résultats </t>
    </r>
    <r>
      <rPr>
        <b/>
        <sz val="11"/>
        <rFont val="Calibri"/>
        <family val="2"/>
      </rPr>
      <t>après validation par l'arbitre</t>
    </r>
    <r>
      <rPr>
        <sz val="11"/>
        <color indexed="8"/>
        <rFont val="Calibri"/>
        <family val="2"/>
      </rPr>
      <t>.
Attribution des points pour le classement national aux seules équipes éligibles.</t>
    </r>
  </si>
  <si>
    <t>Pour toute remarque, contacter randochallenge@ffrandonnee.fr</t>
  </si>
  <si>
    <t>Version au 1er septembre 2021</t>
  </si>
  <si>
    <r>
      <rPr>
        <i/>
        <sz val="11"/>
        <color indexed="12"/>
        <rFont val="Calibri"/>
        <family val="2"/>
      </rPr>
      <t xml:space="preserve">Pierre Mercier CDRP91 </t>
    </r>
    <r>
      <rPr>
        <sz val="11"/>
        <color indexed="12"/>
        <rFont val="Calibri"/>
        <family val="2"/>
      </rPr>
      <t>pierre.mercier@orange.fr</t>
    </r>
  </si>
  <si>
    <t>Merci à André Masse, Agnès et Roland Ehré, Alain Charrier, René Bach, Rose-Marie Monge, Gwenaël Savreux, Noël Gautier, Philippe Choffel, Jean-Pierre Castanier, Julien Coillard, Christian Pellux, Patrick Fauconnot, Elisabeth Desaint, Romain Butheau, Geoffoy Guillon, Georges Philit, Jean-Bernard Riedi, Gilles Valtier, Bruno Lamaurt, Marie-Joëlle Belair, Alain Comtet, Anne Hemery, Jean-Luc Pichon, Alain L'Anton, Luc Chaumont</t>
  </si>
  <si>
    <t>Épreuve</t>
  </si>
  <si>
    <t>RANDO CHALLENGE DE LA SAINT MARTIN MONTREAL</t>
  </si>
  <si>
    <t>Organisateur(s)</t>
  </si>
  <si>
    <t>6 novembre 2022. CDRP AUDE</t>
  </si>
  <si>
    <t>NIVEAU</t>
  </si>
  <si>
    <t>Championnat</t>
  </si>
  <si>
    <t>ces 3 premières zones sont recopiées sur toutes les feuilles</t>
  </si>
  <si>
    <t>Équipes inscrites</t>
  </si>
  <si>
    <t>(participants inscrits)</t>
  </si>
  <si>
    <t>Distance (km)</t>
  </si>
  <si>
    <r>
      <rPr>
        <sz val="11"/>
        <color indexed="8"/>
        <rFont val="Calibri"/>
        <family val="2"/>
      </rPr>
      <t xml:space="preserve">Entrez les valeurs </t>
    </r>
    <r>
      <rPr>
        <b/>
        <sz val="11"/>
        <color indexed="8"/>
        <rFont val="Calibri"/>
        <family val="2"/>
      </rPr>
      <t>exactes</t>
    </r>
    <r>
      <rPr>
        <sz val="11"/>
        <color indexed="8"/>
        <rFont val="Calibri"/>
        <family val="2"/>
      </rPr>
      <t xml:space="preserve"> (au mètre près) de distance et de dénivelée
que vous avez relevées sur la carte</t>
    </r>
  </si>
  <si>
    <t>Dénivelée (m)</t>
  </si>
  <si>
    <t>Vitesse (km/h)</t>
  </si>
  <si>
    <t>Forfait (minutes)</t>
  </si>
  <si>
    <t>Nombre de bornes</t>
  </si>
  <si>
    <t>Début épreuve (hh:mm)</t>
  </si>
  <si>
    <t>les calculs sont faussés si on termine après minuit</t>
  </si>
  <si>
    <t>Fin épreuve (hh:mm)</t>
  </si>
  <si>
    <t>heure limite d'arrivée 
(par défaut h dernier départ+6h)</t>
  </si>
  <si>
    <t>Intervalle (minutes)</t>
  </si>
  <si>
    <t>intervalles mini et maxi entre les départs
selon le nombre d'équipes inscrites</t>
  </si>
  <si>
    <t xml:space="preserve">dernière mise à jour par </t>
  </si>
  <si>
    <t>Équipes partantes</t>
  </si>
  <si>
    <t>Heures estimées selon le nombre d'équipes inscrites
Il est conseillé de ne pas séparer 
le premier et le dernier de plus de 2h30</t>
  </si>
  <si>
    <t>Participants</t>
  </si>
  <si>
    <t>Premier départ</t>
  </si>
  <si>
    <t>Amplitude</t>
  </si>
  <si>
    <t>maxi</t>
  </si>
  <si>
    <t>Dernier départ</t>
  </si>
  <si>
    <t>Dénivelée effort (km)</t>
  </si>
  <si>
    <r>
      <rPr>
        <i/>
        <sz val="11"/>
        <color indexed="8"/>
        <rFont val="Calibri"/>
        <family val="2"/>
      </rPr>
      <t xml:space="preserve">
Distance effort (en km) =
</t>
    </r>
    <r>
      <rPr>
        <b/>
        <i/>
        <sz val="11"/>
        <color indexed="8"/>
        <rFont val="Calibri"/>
        <family val="2"/>
      </rPr>
      <t>Distance</t>
    </r>
    <r>
      <rPr>
        <i/>
        <sz val="11"/>
        <color indexed="8"/>
        <rFont val="Calibri"/>
        <family val="2"/>
      </rPr>
      <t xml:space="preserve"> à parcourir (en km) 
+ </t>
    </r>
    <r>
      <rPr>
        <b/>
        <i/>
        <sz val="11"/>
        <color indexed="8"/>
        <rFont val="Calibri"/>
        <family val="2"/>
      </rPr>
      <t>Dénivelée</t>
    </r>
    <r>
      <rPr>
        <i/>
        <sz val="11"/>
        <color indexed="8"/>
        <rFont val="Calibri"/>
        <family val="2"/>
      </rPr>
      <t xml:space="preserve"> positive (en m) / 100
Temps de référence (en minutes) =
</t>
    </r>
    <r>
      <rPr>
        <b/>
        <i/>
        <sz val="11"/>
        <color indexed="8"/>
        <rFont val="Calibri"/>
        <family val="2"/>
      </rPr>
      <t xml:space="preserve">Distance effort </t>
    </r>
    <r>
      <rPr>
        <i/>
        <sz val="11"/>
        <color indexed="8"/>
        <rFont val="Calibri"/>
        <family val="2"/>
      </rPr>
      <t xml:space="preserve">/ </t>
    </r>
    <r>
      <rPr>
        <b/>
        <i/>
        <sz val="11"/>
        <color indexed="8"/>
        <rFont val="Calibri"/>
        <family val="2"/>
      </rPr>
      <t>Vitesse moyenne</t>
    </r>
    <r>
      <rPr>
        <i/>
        <sz val="11"/>
        <color indexed="8"/>
        <rFont val="Calibri"/>
        <family val="2"/>
      </rPr>
      <t xml:space="preserve"> x 60 
+ </t>
    </r>
    <r>
      <rPr>
        <b/>
        <i/>
        <sz val="11"/>
        <color indexed="8"/>
        <rFont val="Calibri"/>
        <family val="2"/>
      </rPr>
      <t>Forfait</t>
    </r>
  </si>
  <si>
    <t>Distance effort (km)</t>
  </si>
  <si>
    <t>Temps de parcours (heures)</t>
  </si>
  <si>
    <t>Temps de parcours (minutes)</t>
  </si>
  <si>
    <t>Temps total en minutes</t>
  </si>
  <si>
    <t xml:space="preserve"> Temps de référence</t>
  </si>
  <si>
    <t>Le temps calculé est
arrondi à la minute inférieure.</t>
  </si>
  <si>
    <t>application du règlement championnat</t>
  </si>
  <si>
    <t>Découverte</t>
  </si>
  <si>
    <t>règlement allégé pour cette catégorie</t>
  </si>
  <si>
    <t>autre</t>
  </si>
  <si>
    <t>dérogeant au règlement championnat</t>
  </si>
  <si>
    <t>niveau</t>
  </si>
  <si>
    <t>ÉQUIPE</t>
  </si>
  <si>
    <t>n° Club</t>
  </si>
  <si>
    <t>CLUB</t>
  </si>
  <si>
    <t>Ville</t>
  </si>
  <si>
    <t>Capitaine</t>
  </si>
  <si>
    <t>n° licence</t>
  </si>
  <si>
    <t>Téléphone</t>
  </si>
  <si>
    <t>Mail</t>
  </si>
  <si>
    <t>Équipier 1</t>
  </si>
  <si>
    <t>Équipier 2</t>
  </si>
  <si>
    <t>Équipier 3</t>
  </si>
  <si>
    <t>Équipier 4</t>
  </si>
  <si>
    <t>Équipier 5</t>
  </si>
  <si>
    <t>commentaires</t>
  </si>
  <si>
    <t>N</t>
  </si>
  <si>
    <t>effectif</t>
  </si>
  <si>
    <t>éligibilité Championnat</t>
  </si>
  <si>
    <t>identifiant équipe</t>
  </si>
  <si>
    <t>MOINE, Claude</t>
  </si>
  <si>
    <t xml:space="preserve"> 
LOS PASSEJAIRES 
</t>
  </si>
  <si>
    <t>0787842F</t>
  </si>
  <si>
    <t>claudemoine34@orange.fr</t>
  </si>
  <si>
    <t>VISTE, Martine</t>
  </si>
  <si>
    <t>0561211L</t>
  </si>
  <si>
    <t>CROS, Francoise</t>
  </si>
  <si>
    <t>1010421Z</t>
  </si>
  <si>
    <t>HAKIM, Marie Jose</t>
  </si>
  <si>
    <t>1007698G</t>
  </si>
  <si>
    <t>Razes 1</t>
  </si>
  <si>
    <t xml:space="preserve">LES RANDONNEURS DU RAZES ET DU LIMOUXIN </t>
  </si>
  <si>
    <t>LABADIE, Marie Francoise</t>
  </si>
  <si>
    <t>0870616V</t>
  </si>
  <si>
    <t>mflabadie@sfr.fr</t>
  </si>
  <si>
    <t>MALTAVERNE, Sylvie</t>
  </si>
  <si>
    <t>0842069W</t>
  </si>
  <si>
    <t>CHETIF, Dominique</t>
  </si>
  <si>
    <t>0975869B</t>
  </si>
  <si>
    <t>RL JB</t>
  </si>
  <si>
    <t xml:space="preserve">RANDOLATTES </t>
  </si>
  <si>
    <t>BOUCHER, Jacques</t>
  </si>
  <si>
    <t>0538450M</t>
  </si>
  <si>
    <t>jacques.boucher@hotmail.fr</t>
  </si>
  <si>
    <t>PINATEL, Odile</t>
  </si>
  <si>
    <t>0794632J</t>
  </si>
  <si>
    <t>RICHARD, Yves</t>
  </si>
  <si>
    <t>1269761W</t>
  </si>
  <si>
    <t>RICHARD, Margaret</t>
  </si>
  <si>
    <t>1269763Y</t>
  </si>
  <si>
    <t>ASPTT Castres 4</t>
  </si>
  <si>
    <t>ASPTT CASTRES SECTION RANDONNEE</t>
  </si>
  <si>
    <t>TIERCELIN, Jean Luc</t>
  </si>
  <si>
    <t>0717725A</t>
  </si>
  <si>
    <t>tiercelin.jean-luc.20@orange.fr</t>
  </si>
  <si>
    <t>BARTHE, Florence</t>
  </si>
  <si>
    <t>1075354K</t>
  </si>
  <si>
    <t>ALAOUI, Larbi</t>
  </si>
  <si>
    <t>1110178U</t>
  </si>
  <si>
    <t>CUGES RANDOS LOISIRS 1</t>
  </si>
  <si>
    <t>CUGES RANDOS LOISIRS</t>
  </si>
  <si>
    <t>DRAA, Gerard</t>
  </si>
  <si>
    <t>0540952F</t>
  </si>
  <si>
    <t>gerard.draa@gmail.com</t>
  </si>
  <si>
    <t>DRAA, Marie Therese</t>
  </si>
  <si>
    <t>0650063W</t>
  </si>
  <si>
    <t>DRAA, Sabrina</t>
  </si>
  <si>
    <t>1360975I</t>
  </si>
  <si>
    <t>ASPTT Castres 2</t>
  </si>
  <si>
    <t>LOPES, Celine</t>
  </si>
  <si>
    <t>0859780B</t>
  </si>
  <si>
    <t>celine.lopes2007@orange.fr</t>
  </si>
  <si>
    <t>PENALBA, Jose</t>
  </si>
  <si>
    <t>1120655T</t>
  </si>
  <si>
    <t>CHOLET, Stephane</t>
  </si>
  <si>
    <t>0859779A</t>
  </si>
  <si>
    <t>SALABERT OUEILLE, Dominique</t>
  </si>
  <si>
    <t>0730898J</t>
  </si>
  <si>
    <t xml:space="preserve"> 
LAFORGUE, Jean Charles
</t>
  </si>
  <si>
    <t>COMITE ET MAISON DE QUARTIER LAMEILHE  LA CAPELANIE</t>
  </si>
  <si>
    <t>LAFORGUE, Jean Charles</t>
  </si>
  <si>
    <t>0554085K</t>
  </si>
  <si>
    <t>laforgue.jean-charles@orange.fr</t>
  </si>
  <si>
    <t>LUMIERE, Georges</t>
  </si>
  <si>
    <t>0568310C</t>
  </si>
  <si>
    <t>0974650D</t>
  </si>
  <si>
    <t>CABROC, Guy</t>
  </si>
  <si>
    <t>1002294K</t>
  </si>
  <si>
    <t>RL MK</t>
  </si>
  <si>
    <t>KREBS, Marc</t>
  </si>
  <si>
    <t>0905028J</t>
  </si>
  <si>
    <t>marc.krebs58@gmail.com</t>
  </si>
  <si>
    <t>MILLET LAQUIEZE, Sabine</t>
  </si>
  <si>
    <t>1098723F</t>
  </si>
  <si>
    <t>1141767T</t>
  </si>
  <si>
    <t>MILESI, Blandine</t>
  </si>
  <si>
    <t>1001169D</t>
  </si>
  <si>
    <t>ASPTT Castres 1</t>
  </si>
  <si>
    <t>0226111E</t>
  </si>
  <si>
    <t>andre-masse@orange.fr</t>
  </si>
  <si>
    <t>EDOUARD, Albert</t>
  </si>
  <si>
    <t>0624917K</t>
  </si>
  <si>
    <t>BUTTERLIN, Catherine</t>
  </si>
  <si>
    <t>1315418A</t>
  </si>
  <si>
    <t>MOREIRA, Isabelle</t>
  </si>
  <si>
    <t>1339893K</t>
  </si>
  <si>
    <t>RL GM</t>
  </si>
  <si>
    <t>MINOT, Gerard</t>
  </si>
  <si>
    <t>1001172G</t>
  </si>
  <si>
    <t>minotgerard.349@gmail.com</t>
  </si>
  <si>
    <t>GUIGUE, Nelly</t>
  </si>
  <si>
    <t>0736649A</t>
  </si>
  <si>
    <t>KNOCKAERT, Sylvie</t>
  </si>
  <si>
    <t>0659682E</t>
  </si>
  <si>
    <t>FOURNEL, Catherine</t>
  </si>
  <si>
    <t>0997223J</t>
  </si>
  <si>
    <t>ASPTT Castres 3</t>
  </si>
  <si>
    <t>MIALHE, Aurelie</t>
  </si>
  <si>
    <t>0774663I</t>
  </si>
  <si>
    <t>aurelie.mialhe@neuf.fr</t>
  </si>
  <si>
    <t>GUICHARD, Christel</t>
  </si>
  <si>
    <t>1222887X</t>
  </si>
  <si>
    <t>CALVET, Maryline</t>
  </si>
  <si>
    <t>1340299A</t>
  </si>
  <si>
    <t>RL BB</t>
  </si>
  <si>
    <t>BENOIT, Bruno</t>
  </si>
  <si>
    <t>1154878C</t>
  </si>
  <si>
    <t>benoit.bruno@orange.fr</t>
  </si>
  <si>
    <t>AUBE, Carole</t>
  </si>
  <si>
    <t>1162887D</t>
  </si>
  <si>
    <t>VOLTZ, Aymeric</t>
  </si>
  <si>
    <t>1162888E</t>
  </si>
  <si>
    <t>GAUVIN, Mickael</t>
  </si>
  <si>
    <t>1337374N</t>
  </si>
  <si>
    <t>L Isle Rando Club 2</t>
  </si>
  <si>
    <t xml:space="preserve">L ISLE RANDO CLUB </t>
  </si>
  <si>
    <t>PASQUET, Herve</t>
  </si>
  <si>
    <t>0631609P</t>
  </si>
  <si>
    <t>herve.pasquet32@outlook.com</t>
  </si>
  <si>
    <t>BAYLAC, Jacqueline</t>
  </si>
  <si>
    <t>0824321G</t>
  </si>
  <si>
    <t>WOJEWEDKA, Alain</t>
  </si>
  <si>
    <t>1075084A</t>
  </si>
  <si>
    <t>POTIER Catherine</t>
  </si>
  <si>
    <t>1089233F</t>
  </si>
  <si>
    <t>Niveau</t>
  </si>
  <si>
    <t>Dossard</t>
  </si>
  <si>
    <t>créneau</t>
  </si>
  <si>
    <t>heure départ</t>
  </si>
  <si>
    <t>EQUIPE</t>
  </si>
  <si>
    <t>Heure départ</t>
  </si>
  <si>
    <t>Émargements</t>
  </si>
  <si>
    <t>Temps cible</t>
  </si>
  <si>
    <t>Heure arrivée</t>
  </si>
  <si>
    <t xml:space="preserve"> </t>
  </si>
  <si>
    <t>bornes pour validation saisie</t>
  </si>
  <si>
    <t>total pénalités</t>
  </si>
  <si>
    <t>Temps réel</t>
  </si>
  <si>
    <t>écart réel cible</t>
  </si>
  <si>
    <t>écart cible référence</t>
  </si>
  <si>
    <t>P TEMPS</t>
  </si>
  <si>
    <t>excédent</t>
  </si>
  <si>
    <t>manquent</t>
  </si>
  <si>
    <t>mal placées</t>
  </si>
  <si>
    <t>correction</t>
  </si>
  <si>
    <t>P BORNES</t>
  </si>
  <si>
    <t>réservé</t>
  </si>
  <si>
    <t>fausses</t>
  </si>
  <si>
    <t>non répondues</t>
  </si>
  <si>
    <t>P ACM</t>
  </si>
  <si>
    <t>M</t>
  </si>
  <si>
    <t>F</t>
  </si>
  <si>
    <t>rang affichage</t>
  </si>
  <si>
    <t>Classement général</t>
  </si>
  <si>
    <t>équipe</t>
  </si>
  <si>
    <t>Total Pénalités</t>
  </si>
  <si>
    <t>Rang P</t>
  </si>
  <si>
    <t>Pénalités Bornes</t>
  </si>
  <si>
    <t>Rang B</t>
  </si>
  <si>
    <t>Pénalités Temps</t>
  </si>
  <si>
    <t>Rang T</t>
  </si>
  <si>
    <t>Pénalités ACM</t>
  </si>
  <si>
    <t>Question Subsidiaire</t>
  </si>
  <si>
    <t>Rang S</t>
  </si>
  <si>
    <t>Score combiné</t>
  </si>
  <si>
    <t>score affichage</t>
  </si>
  <si>
    <t>Effectif</t>
  </si>
  <si>
    <t>équipier 1</t>
  </si>
  <si>
    <t>équipier 2</t>
  </si>
  <si>
    <t>équipier 3</t>
  </si>
  <si>
    <t>temps référence</t>
  </si>
  <si>
    <t>Question subsidiaire</t>
  </si>
  <si>
    <t>éligible cfc</t>
  </si>
  <si>
    <t>Points championnat théoriques</t>
  </si>
  <si>
    <r>
      <rPr>
        <b/>
        <sz val="11"/>
        <color indexed="8"/>
        <rFont val="Calibri"/>
        <family val="2"/>
      </rPr>
      <t>Points championnat</t>
    </r>
    <r>
      <rPr>
        <b/>
        <i/>
        <sz val="11"/>
        <color indexed="8"/>
        <rFont val="Calibri"/>
        <family val="2"/>
      </rPr>
      <t xml:space="preserve"> </t>
    </r>
    <r>
      <rPr>
        <b/>
        <i/>
        <sz val="11"/>
        <color indexed="20"/>
        <rFont val="Calibri"/>
        <family val="2"/>
      </rPr>
      <t>plafonnés</t>
    </r>
  </si>
  <si>
    <t>Identifiant équipe</t>
  </si>
  <si>
    <t>Bonus maximal équipes multiples</t>
  </si>
  <si>
    <t>ATTENTION !</t>
  </si>
  <si>
    <t xml:space="preserve">Toute modification de ce tableau a des conséquences immédiates sur l'ensemble des calculs. </t>
  </si>
  <si>
    <t>Mnémoniques et coefficients de pénalité</t>
  </si>
  <si>
    <t>Borne excédentaire</t>
  </si>
  <si>
    <t>Borne mal placée</t>
  </si>
  <si>
    <t>Réponse fausse</t>
  </si>
  <si>
    <t>Non répondue</t>
  </si>
  <si>
    <t>Valeurs limites selon le règlement applicable</t>
  </si>
  <si>
    <t>min</t>
  </si>
  <si>
    <t>max</t>
  </si>
  <si>
    <t xml:space="preserve">Distance effort </t>
  </si>
  <si>
    <t>Vitesse</t>
  </si>
  <si>
    <t>Forfait</t>
  </si>
  <si>
    <t>Intervalle des départs</t>
  </si>
  <si>
    <t>Amplitude des départs</t>
  </si>
  <si>
    <t>&lt;== nom de l'arbitre autorisant les dérogations</t>
  </si>
  <si>
    <t>Place</t>
  </si>
  <si>
    <t>écart</t>
  </si>
  <si>
    <t>primes</t>
  </si>
  <si>
    <t>BASE</t>
  </si>
  <si>
    <t>écart 1er 2e</t>
  </si>
  <si>
    <t>(bonus équipes multiples)</t>
  </si>
  <si>
    <t>écart 2e 3e</t>
  </si>
  <si>
    <t>écart 3e 4e</t>
  </si>
  <si>
    <t>audience</t>
  </si>
  <si>
    <t>ANALYSE des PENALITES</t>
  </si>
  <si>
    <t>excèdent</t>
  </si>
  <si>
    <t>mal
placées</t>
  </si>
  <si>
    <t>réponses
fausses</t>
  </si>
  <si>
    <t>non rép.</t>
  </si>
  <si>
    <t>minimum</t>
  </si>
  <si>
    <t>maximum</t>
  </si>
  <si>
    <t>moyenne</t>
  </si>
  <si>
    <t>SOMMES</t>
  </si>
  <si>
    <t>répartition</t>
  </si>
  <si>
    <t>&lt;</t>
  </si>
  <si>
    <t>&gt;=</t>
  </si>
  <si>
    <t>temps de référence</t>
  </si>
  <si>
    <t>=</t>
  </si>
  <si>
    <t>&gt;</t>
  </si>
  <si>
    <t>temps conformes</t>
  </si>
  <si>
    <t>V</t>
  </si>
  <si>
    <t>modifications</t>
  </si>
  <si>
    <t>Version conforme au règlement 2020-2024</t>
  </si>
  <si>
    <r>
      <rPr>
        <b/>
        <sz val="11"/>
        <color indexed="8"/>
        <rFont val="Calibri"/>
        <family val="2"/>
      </rPr>
      <t xml:space="preserve">Parcours : </t>
    </r>
    <r>
      <rPr>
        <sz val="11"/>
        <color indexed="8"/>
        <rFont val="Calibri"/>
        <family val="2"/>
      </rPr>
      <t>niveau "championnat", "découverte" ou "autre"</t>
    </r>
  </si>
  <si>
    <r>
      <rPr>
        <b/>
        <sz val="11"/>
        <color indexed="8"/>
        <rFont val="Calibri"/>
        <family val="2"/>
      </rPr>
      <t xml:space="preserve">Emargement : </t>
    </r>
    <r>
      <rPr>
        <sz val="11"/>
        <color indexed="8"/>
        <rFont val="Calibri"/>
        <family val="2"/>
      </rPr>
      <t>nouvelle feuille pour saisie des temps cible et des heures d'arrivée</t>
    </r>
  </si>
  <si>
    <r>
      <rPr>
        <b/>
        <sz val="11"/>
        <color indexed="8"/>
        <rFont val="Calibri"/>
        <family val="2"/>
      </rPr>
      <t xml:space="preserve">Barème : </t>
    </r>
    <r>
      <rPr>
        <sz val="11"/>
        <color indexed="8"/>
        <rFont val="Calibri"/>
        <family val="2"/>
      </rPr>
      <t>coefficient majorateur si audience &gt; 15</t>
    </r>
  </si>
  <si>
    <r>
      <rPr>
        <b/>
        <sz val="11"/>
        <color indexed="8"/>
        <rFont val="Calibri"/>
        <family val="2"/>
      </rPr>
      <t xml:space="preserve">Classement : </t>
    </r>
    <r>
      <rPr>
        <sz val="11"/>
        <color indexed="8"/>
        <rFont val="Calibri"/>
        <family val="2"/>
      </rPr>
      <t xml:space="preserve">attribution des points Championnat selon la position absolue au classement général
et non selon les positions relatives des seules équipes éligibles CFC
Seule la meilleure équipe de chaque club marque la totalité de ses points, les autres marquent au maximum le bonus "équipes multiples" (voir feuille </t>
    </r>
    <r>
      <rPr>
        <b/>
        <sz val="11"/>
        <color indexed="8"/>
        <rFont val="Calibri"/>
        <family val="2"/>
      </rPr>
      <t>Barème</t>
    </r>
    <r>
      <rPr>
        <sz val="11"/>
        <color indexed="8"/>
        <rFont val="Calibri"/>
        <family val="2"/>
      </rPr>
      <t>)</t>
    </r>
  </si>
  <si>
    <r>
      <rPr>
        <sz val="11"/>
        <color indexed="8"/>
        <rFont val="Calibri"/>
        <family val="2"/>
      </rPr>
      <t xml:space="preserve">La feuille </t>
    </r>
    <r>
      <rPr>
        <b/>
        <sz val="11"/>
        <color indexed="8"/>
        <rFont val="Calibri"/>
        <family val="2"/>
      </rPr>
      <t xml:space="preserve">Classement </t>
    </r>
    <r>
      <rPr>
        <sz val="11"/>
        <color indexed="8"/>
        <rFont val="Calibri"/>
        <family val="2"/>
      </rPr>
      <t xml:space="preserve">est inactive pour les épreuves "Découverte", à la place on affiche la feuille </t>
    </r>
    <r>
      <rPr>
        <b/>
        <sz val="11"/>
        <color indexed="8"/>
        <rFont val="Calibri"/>
        <family val="2"/>
      </rPr>
      <t>Résultats.</t>
    </r>
  </si>
  <si>
    <t>V50 validée à Rambouillet + correction des verrouillages de cellules</t>
  </si>
  <si>
    <r>
      <rPr>
        <b/>
        <sz val="11"/>
        <rFont val="Calibri"/>
        <family val="2"/>
      </rPr>
      <t xml:space="preserve"> Inscriptions  :</t>
    </r>
    <r>
      <rPr>
        <sz val="11"/>
        <rFont val="Calibri"/>
        <family val="2"/>
      </rPr>
      <t xml:space="preserve"> correction des formats (n° club et téléphones)</t>
    </r>
  </si>
  <si>
    <t>Variable</t>
  </si>
  <si>
    <t>valeur actuelle</t>
  </si>
  <si>
    <t>Feuille</t>
  </si>
  <si>
    <t>Ligne</t>
  </si>
  <si>
    <t>Colonne</t>
  </si>
  <si>
    <t>Description</t>
  </si>
  <si>
    <t>Barème</t>
  </si>
  <si>
    <t>(feuille entière)</t>
  </si>
  <si>
    <t>BonusM</t>
  </si>
  <si>
    <t>bonus pour équipes multiples d'un même club</t>
  </si>
  <si>
    <t>Coeff_audience</t>
  </si>
  <si>
    <t>barème des points, majorés selon l'audience (+1 par équipe partante au-delà de la 15e)</t>
  </si>
  <si>
    <t>Constantes</t>
  </si>
  <si>
    <t>Départs</t>
  </si>
  <si>
    <t>Amplitude_max</t>
  </si>
  <si>
    <t>écart maxi entre le 1er départ et le dernier</t>
  </si>
  <si>
    <t>Distance_effort_max</t>
  </si>
  <si>
    <t>20 pour un Rando Challenge labellisé</t>
  </si>
  <si>
    <t>Distance_effort_min</t>
  </si>
  <si>
    <t>16 pour un Rando Challenge labellisé</t>
  </si>
  <si>
    <t>Excédentaire.coeff</t>
  </si>
  <si>
    <t>coefficient pour borne excédentaire</t>
  </si>
  <si>
    <t>Fausse</t>
  </si>
  <si>
    <t>mnémonique pour "réponse fausse"</t>
  </si>
  <si>
    <t>Fausse.coeff</t>
  </si>
  <si>
    <t>coefficient pour réponse fausse</t>
  </si>
  <si>
    <t>Forfait_max</t>
  </si>
  <si>
    <t>45 pour un Rando Challenge labellisé</t>
  </si>
  <si>
    <t>Forfait_min</t>
  </si>
  <si>
    <t>Intervalle_min</t>
  </si>
  <si>
    <t xml:space="preserve">2 minutes </t>
  </si>
  <si>
    <t>Mal_placée</t>
  </si>
  <si>
    <t>mnémonique pour "borne mal placée"</t>
  </si>
  <si>
    <t>Mal_placée.coeff</t>
  </si>
  <si>
    <t>coefficient pour borne mal placée</t>
  </si>
  <si>
    <t>Nombre_bornes_max</t>
  </si>
  <si>
    <t>15 pour un Rando Challenge labellisé</t>
  </si>
  <si>
    <t>Nombre_bornes_min</t>
  </si>
  <si>
    <t>12 pour un Rando Challenge labellisé</t>
  </si>
  <si>
    <t>Non_répondue</t>
  </si>
  <si>
    <t>mnémonique pour "absence de réponse"</t>
  </si>
  <si>
    <t>Non_répondue.coeff</t>
  </si>
  <si>
    <t>coefficient pour absence de réponse</t>
  </si>
  <si>
    <t>Vitesse_max</t>
  </si>
  <si>
    <t>4 pour un Rando Challenge labellisé</t>
  </si>
  <si>
    <t>vitesse_min</t>
  </si>
  <si>
    <t>Départs.effectif</t>
  </si>
  <si>
    <t>nombre de membres par équipe présente au départ</t>
  </si>
  <si>
    <t>numéro de dossard attribué par le système (modifiable)</t>
  </si>
  <si>
    <t>nom de l'équipe</t>
  </si>
  <si>
    <t>Heure_départ</t>
  </si>
  <si>
    <t>heure de départ attribuée par le système (non modifiable)</t>
  </si>
  <si>
    <t>émargement</t>
  </si>
  <si>
    <t>Pénalités</t>
  </si>
  <si>
    <t>Heure_arrivée</t>
  </si>
  <si>
    <t>heure d'arrivée enregistrée</t>
  </si>
  <si>
    <t>Temps_cible</t>
  </si>
  <si>
    <t>temps cible annoncé au départ, en format horaire</t>
  </si>
  <si>
    <t>Inscriptions</t>
  </si>
  <si>
    <t>nom prénom du capitaine</t>
  </si>
  <si>
    <t>Club</t>
  </si>
  <si>
    <t>nom du club ayant inscrit l'équipe</t>
  </si>
  <si>
    <t>nombre de membres de l'équipe</t>
  </si>
  <si>
    <t>éligibilité_CFC</t>
  </si>
  <si>
    <t>résultat de l'analyse des critères (club, effectif, licences)</t>
  </si>
  <si>
    <t>équipier_1</t>
  </si>
  <si>
    <t>nom prénom du 1er équipier</t>
  </si>
  <si>
    <t>équipier_2</t>
  </si>
  <si>
    <t>nom prénom du 2e équipier</t>
  </si>
  <si>
    <t>équipier_3</t>
  </si>
  <si>
    <t>nom prénom du 3e équipier</t>
  </si>
  <si>
    <t>équipier_4</t>
  </si>
  <si>
    <t>nom prénom du 4e équipier (Découverte)</t>
  </si>
  <si>
    <t>équipier_5</t>
  </si>
  <si>
    <t>nom prénom du 5e équipier (Découverte)</t>
  </si>
  <si>
    <t>Identifiant_equipe</t>
  </si>
  <si>
    <t>concatenation du numéro de club et du numéro de licence du capitaine</t>
  </si>
  <si>
    <t>Inscriptions.numéro</t>
  </si>
  <si>
    <t>numéro d'ordre des inscriptions</t>
  </si>
  <si>
    <t>Licence_1</t>
  </si>
  <si>
    <t>numéro de licence du 1er équipier</t>
  </si>
  <si>
    <t>Licence_2</t>
  </si>
  <si>
    <t>numéro de licence du 2e équipier</t>
  </si>
  <si>
    <t>Licence_3</t>
  </si>
  <si>
    <t>numéro de licence du 3e équipier</t>
  </si>
  <si>
    <t>Licence_c</t>
  </si>
  <si>
    <t>numéro de licence du capitaine</t>
  </si>
  <si>
    <t>Numéro_club</t>
  </si>
  <si>
    <t>numéro FFRP du club</t>
  </si>
  <si>
    <t>numéro de portable du capitaine</t>
  </si>
  <si>
    <t>siège social du club</t>
  </si>
  <si>
    <t>Parcours</t>
  </si>
  <si>
    <t>écart théorique entre 1er départ et dernier selon le nombre d'équipes inscrites</t>
  </si>
  <si>
    <t>Début_épreuve</t>
  </si>
  <si>
    <t>heure du 1er départ</t>
  </si>
  <si>
    <t>Dénivelée</t>
  </si>
  <si>
    <t>dénivelée officielle brute</t>
  </si>
  <si>
    <t>Dénivelée_effort</t>
  </si>
  <si>
    <t>conversion en km de la dénivelée</t>
  </si>
  <si>
    <t>Dernier_départ</t>
  </si>
  <si>
    <t>dernier départ</t>
  </si>
  <si>
    <t>Distance</t>
  </si>
  <si>
    <t>distance officielle brute</t>
  </si>
  <si>
    <t>Distance_effort</t>
  </si>
  <si>
    <t>somme de la distance à plat et de la dénivellée multipliée par 10</t>
  </si>
  <si>
    <t>équipes_inscrites</t>
  </si>
  <si>
    <t>dernier numéro d'inscription attribué</t>
  </si>
  <si>
    <t>équipes_partantes</t>
  </si>
  <si>
    <t>nombre de numéros de dossard enregistrés au départ</t>
  </si>
  <si>
    <t>Fin_épreuve</t>
  </si>
  <si>
    <t>heure limite d'arrivée fixée par l'organisateur</t>
  </si>
  <si>
    <t>Fin_épreuve_max</t>
  </si>
  <si>
    <t>par défaut 6 h après le dernier départ</t>
  </si>
  <si>
    <t>Fin_épreuve_min</t>
  </si>
  <si>
    <t xml:space="preserve">1er concurrent attendu </t>
  </si>
  <si>
    <t>Forfait__minutes</t>
  </si>
  <si>
    <t>temps de préparation et de pause (45 pour un Rando Challenge labellisé)</t>
  </si>
  <si>
    <t>Intervalle</t>
  </si>
  <si>
    <t>intervalle entre les départs</t>
  </si>
  <si>
    <t>Intervalle_max</t>
  </si>
  <si>
    <t>intervalle maximal autorisé pour que l'amplitude maxi ne soit pas dépassée</t>
  </si>
  <si>
    <t>niveau de l'épreuve (détermine l'attribution des points championnat)</t>
  </si>
  <si>
    <t>Nombre_de_bornes</t>
  </si>
  <si>
    <t>entre 12 et 15 bornes pour un Rando Challenge labellisé</t>
  </si>
  <si>
    <t>Parcours__heures</t>
  </si>
  <si>
    <t>temps de parcours brut non arrondi</t>
  </si>
  <si>
    <t>Parcours__minutes</t>
  </si>
  <si>
    <t>Premier_départ</t>
  </si>
  <si>
    <t>Temps_référence</t>
  </si>
  <si>
    <t>conversion en format horaire du temps de référence calculé</t>
  </si>
  <si>
    <t>Temps_référence_min</t>
  </si>
  <si>
    <t>permet de signaler les temps (référence et cible) hors norme</t>
  </si>
  <si>
    <t>Temps_référence_max</t>
  </si>
  <si>
    <t>Temps_total_en_minutes</t>
  </si>
  <si>
    <t>somme du temps de parcours et du forfait, arrondi à la minute inférieure</t>
  </si>
  <si>
    <t>vitesse moyenne imposée (4 pour un Rando Challenge labellisé)</t>
  </si>
  <si>
    <t>Correction</t>
  </si>
  <si>
    <t>ajustement si nombre bornes mal placées &lt; nombre marques manquantes</t>
  </si>
  <si>
    <t>écart_cible_référence</t>
  </si>
  <si>
    <t>différence entre temps cible annoncé et temps de référence, convertie en minutes et arrondie</t>
  </si>
  <si>
    <t>écart_réel_cible</t>
  </si>
  <si>
    <t>différence entre temps réel et temps cible annoncé, convertie en minutes et arrondie</t>
  </si>
  <si>
    <t>Excédent</t>
  </si>
  <si>
    <t>nombre de marques de bornes excédentaires</t>
  </si>
  <si>
    <t>Fausses</t>
  </si>
  <si>
    <t>nombre de réponses fausses</t>
  </si>
  <si>
    <t>Mal_placées</t>
  </si>
  <si>
    <t>nombre de bornes mal placées</t>
  </si>
  <si>
    <t>Manquent</t>
  </si>
  <si>
    <t>nombre de marques de bornes manquantes</t>
  </si>
  <si>
    <t>Non_répondues</t>
  </si>
  <si>
    <t>nombre d'ACMs sans réponse</t>
  </si>
  <si>
    <t>Pénalités_ACM</t>
  </si>
  <si>
    <t>somme des 15 colonnes ACM</t>
  </si>
  <si>
    <t>Pénalités_bornes</t>
  </si>
  <si>
    <t>somme des 15 colonnes Bornes + bornes excédentaires</t>
  </si>
  <si>
    <t>Pénalités_temps</t>
  </si>
  <si>
    <t>somme des écarts réel-cible et cible-référence</t>
  </si>
  <si>
    <t>Pointées</t>
  </si>
  <si>
    <t>nombre de marques de bornes</t>
  </si>
  <si>
    <t>temps cible annoncé en format horaire</t>
  </si>
  <si>
    <t>Temps_réel</t>
  </si>
  <si>
    <t xml:space="preserve">temps réalisé (différence entre heure d'arrivée et heure de départ) en format horaire </t>
  </si>
  <si>
    <t>Total_pénalités</t>
  </si>
  <si>
    <t>somme des 3 pénalités ACM, Bornes et Temps</t>
  </si>
  <si>
    <t>Résultats</t>
  </si>
  <si>
    <t>Rang</t>
  </si>
  <si>
    <t>Rang selon score combiné (=classement général)</t>
  </si>
  <si>
    <t>Rang_B</t>
  </si>
  <si>
    <t>Rang selon pénalités Bornes</t>
  </si>
  <si>
    <t>Rang_P</t>
  </si>
  <si>
    <t>Rang selon total des Pénalités</t>
  </si>
  <si>
    <t>Rang_S</t>
  </si>
  <si>
    <t>Rang selon question subsidiaire</t>
  </si>
  <si>
    <t>Rang_T</t>
  </si>
  <si>
    <t>Rang selon pénalités Temps</t>
  </si>
  <si>
    <t>Score_combiné</t>
  </si>
  <si>
    <t>somme de Rang_P*1000000, Rang_B*10000, Rang_T*100,Rang_S</t>
  </si>
  <si>
    <t>Subsidiaire</t>
  </si>
  <si>
    <t>points attribués pour la question subsidiaire (le plus faible l'emporte)</t>
  </si>
</sst>
</file>

<file path=xl/styles.xml><?xml version="1.0" encoding="utf-8"?>
<styleSheet xmlns="http://schemas.openxmlformats.org/spreadsheetml/2006/main">
  <numFmts count="31">
    <numFmt numFmtId="164" formatCode="General"/>
    <numFmt numFmtId="165" formatCode="_-* #,##0.00\ _€_-;\-* #,##0.00\ _€_-;_-* \-??\ _€_-;_-@_-"/>
    <numFmt numFmtId="166" formatCode="@"/>
    <numFmt numFmtId="167" formatCode="0"/>
    <numFmt numFmtId="168" formatCode="0.000"/>
    <numFmt numFmtId="169" formatCode="#,##0.000_ ;\-#,##0.000\ "/>
    <numFmt numFmtId="170" formatCode="#,##0_ ;\-#,##0\ "/>
    <numFmt numFmtId="171" formatCode="0.0"/>
    <numFmt numFmtId="172" formatCode="General"/>
    <numFmt numFmtId="173" formatCode="#,##0.0_ ;\-#,##0.0\ "/>
    <numFmt numFmtId="174" formatCode="h:mm"/>
    <numFmt numFmtId="175" formatCode="h:mm;@"/>
    <numFmt numFmtId="176" formatCode="hh:mm"/>
    <numFmt numFmtId="177" formatCode="d\ mmmm\ yyyy\ hh:mm"/>
    <numFmt numFmtId="178" formatCode="_-* #,##0.000000\ _€_-;\-* #,##0.000000\ _€_-;_-* \-??\ _€_-;_-@_-"/>
    <numFmt numFmtId="179" formatCode="00000"/>
    <numFmt numFmtId="180" formatCode="0#\ ##\ ##\ ##\ ##"/>
    <numFmt numFmtId="181" formatCode="_-* #,##0\ _€_-;\-* #,##0\ _€_-;_-* \-??\ _€_-;_-@_-"/>
    <numFmt numFmtId="182" formatCode="&quot;Pénalités TEMPS (référence = &quot;h:mm\)"/>
    <numFmt numFmtId="183" formatCode="&quot;pointées /&quot;0"/>
    <numFmt numFmtId="184" formatCode="&quot;écart cible référence (&quot;h:mm\)"/>
    <numFmt numFmtId="185" formatCode="#"/>
    <numFmt numFmtId="186" formatCode="_-* #,##0.00000000000000000000\ _€_-;\-* #,##0.00000000000000000000\ _€_-;_-* \-??\ _€_-;_-@_-"/>
    <numFmt numFmtId="187" formatCode="d/m/yy\ h:mm"/>
    <numFmt numFmtId="188" formatCode="##_ ##_ ##"/>
    <numFmt numFmtId="189" formatCode="[$-40C]#,##0\ _€;[RED]\-#,##0\ _€"/>
    <numFmt numFmtId="190" formatCode="&quot;Pénalités Bornes (&quot;##\)"/>
    <numFmt numFmtId="191" formatCode="_-* #,##0.0\ _€_-;\-* #,##0.0\ _€_-;_-* \-??\ _€_-;_-@_-"/>
    <numFmt numFmtId="192" formatCode="0\ %"/>
    <numFmt numFmtId="193" formatCode="0.0%"/>
    <numFmt numFmtId="194" formatCode="_-* #,##0.000\ _€_-;\-* #,##0.000\ _€_-;_-* \-??\ _€_-;_-@_-"/>
  </numFmts>
  <fonts count="90">
    <font>
      <sz val="11"/>
      <color indexed="8"/>
      <name val="Calibri"/>
      <family val="2"/>
    </font>
    <font>
      <sz val="10"/>
      <name val="Arial"/>
      <family val="0"/>
    </font>
    <font>
      <b/>
      <sz val="14"/>
      <color indexed="8"/>
      <name val="Calibri"/>
      <family val="2"/>
    </font>
    <font>
      <b/>
      <sz val="16"/>
      <color indexed="8"/>
      <name val="Calibri"/>
      <family val="2"/>
    </font>
    <font>
      <b/>
      <sz val="11"/>
      <color indexed="8"/>
      <name val="Calibri"/>
      <family val="2"/>
    </font>
    <font>
      <sz val="11"/>
      <name val="Calibri"/>
      <family val="2"/>
    </font>
    <font>
      <sz val="10"/>
      <color indexed="8"/>
      <name val="Calibri"/>
      <family val="2"/>
    </font>
    <font>
      <sz val="11"/>
      <color indexed="9"/>
      <name val="Calibri"/>
      <family val="2"/>
    </font>
    <font>
      <i/>
      <sz val="11"/>
      <name val="Calibri"/>
      <family val="2"/>
    </font>
    <font>
      <b/>
      <sz val="11"/>
      <color indexed="14"/>
      <name val="Calibri"/>
      <family val="2"/>
    </font>
    <font>
      <b/>
      <sz val="11"/>
      <color indexed="10"/>
      <name val="Calibri"/>
      <family val="2"/>
    </font>
    <font>
      <sz val="11"/>
      <color indexed="10"/>
      <name val="Calibri"/>
      <family val="2"/>
    </font>
    <font>
      <u val="single"/>
      <sz val="11"/>
      <color indexed="30"/>
      <name val="Calibri"/>
      <family val="2"/>
    </font>
    <font>
      <b/>
      <sz val="11"/>
      <color indexed="30"/>
      <name val="Calibri"/>
      <family val="2"/>
    </font>
    <font>
      <b/>
      <sz val="11"/>
      <color indexed="12"/>
      <name val="Calibri"/>
      <family val="2"/>
    </font>
    <font>
      <b/>
      <i/>
      <sz val="11"/>
      <name val="Calibri"/>
      <family val="2"/>
    </font>
    <font>
      <b/>
      <sz val="11"/>
      <name val="Calibri"/>
      <family val="2"/>
    </font>
    <font>
      <i/>
      <sz val="11"/>
      <color indexed="8"/>
      <name val="Calibri"/>
      <family val="2"/>
    </font>
    <font>
      <i/>
      <sz val="11"/>
      <color indexed="12"/>
      <name val="Calibri"/>
      <family val="2"/>
    </font>
    <font>
      <sz val="11"/>
      <color indexed="12"/>
      <name val="Calibri"/>
      <family val="2"/>
    </font>
    <font>
      <sz val="11"/>
      <color indexed="20"/>
      <name val="Calibri"/>
      <family val="2"/>
    </font>
    <font>
      <b/>
      <sz val="18"/>
      <name val="Calibri"/>
      <family val="2"/>
    </font>
    <font>
      <b/>
      <sz val="18"/>
      <color indexed="8"/>
      <name val="Calibri"/>
      <family val="2"/>
    </font>
    <font>
      <sz val="18"/>
      <color indexed="8"/>
      <name val="Calibri"/>
      <family val="2"/>
    </font>
    <font>
      <b/>
      <sz val="14"/>
      <name val="Calibri"/>
      <family val="2"/>
    </font>
    <font>
      <sz val="14"/>
      <color indexed="8"/>
      <name val="Calibri"/>
      <family val="2"/>
    </font>
    <font>
      <b/>
      <i/>
      <sz val="11"/>
      <color indexed="8"/>
      <name val="Calibri"/>
      <family val="2"/>
    </font>
    <font>
      <sz val="14"/>
      <name val="Calibri"/>
      <family val="2"/>
    </font>
    <font>
      <i/>
      <sz val="14"/>
      <color indexed="8"/>
      <name val="Calibri"/>
      <family val="2"/>
    </font>
    <font>
      <sz val="12"/>
      <name val="Calibri"/>
      <family val="2"/>
    </font>
    <font>
      <i/>
      <sz val="12"/>
      <color indexed="8"/>
      <name val="Calibri"/>
      <family val="2"/>
    </font>
    <font>
      <sz val="20"/>
      <color indexed="8"/>
      <name val="Calibri"/>
      <family val="2"/>
    </font>
    <font>
      <i/>
      <sz val="12"/>
      <name val="Calibri"/>
      <family val="2"/>
    </font>
    <font>
      <b/>
      <i/>
      <sz val="14"/>
      <color indexed="8"/>
      <name val="Calibri"/>
      <family val="2"/>
    </font>
    <font>
      <b/>
      <sz val="12"/>
      <name val="Calibri"/>
      <family val="2"/>
    </font>
    <font>
      <i/>
      <sz val="12"/>
      <color indexed="8"/>
      <name val="Comic Sans MS"/>
      <family val="4"/>
    </font>
    <font>
      <sz val="14"/>
      <color indexed="9"/>
      <name val="Calibri"/>
      <family val="2"/>
    </font>
    <font>
      <i/>
      <sz val="14"/>
      <color indexed="8"/>
      <name val="Courier New"/>
      <family val="3"/>
    </font>
    <font>
      <b/>
      <i/>
      <sz val="16"/>
      <name val="Calibri"/>
      <family val="2"/>
    </font>
    <font>
      <i/>
      <sz val="20"/>
      <color indexed="8"/>
      <name val="Calibri"/>
      <family val="2"/>
    </font>
    <font>
      <sz val="10"/>
      <color indexed="8"/>
      <name val="Courier New"/>
      <family val="3"/>
    </font>
    <font>
      <sz val="11"/>
      <color indexed="8"/>
      <name val="Courier New"/>
      <family val="3"/>
    </font>
    <font>
      <b/>
      <sz val="12"/>
      <color indexed="8"/>
      <name val="Calibri"/>
      <family val="2"/>
    </font>
    <font>
      <b/>
      <sz val="10"/>
      <color indexed="8"/>
      <name val="Courier New"/>
      <family val="3"/>
    </font>
    <font>
      <b/>
      <sz val="11"/>
      <color indexed="8"/>
      <name val="Courier New"/>
      <family val="3"/>
    </font>
    <font>
      <b/>
      <i/>
      <sz val="18"/>
      <color indexed="8"/>
      <name val="Calibri"/>
      <family val="2"/>
    </font>
    <font>
      <b/>
      <i/>
      <sz val="18"/>
      <name val="Calibri"/>
      <family val="2"/>
    </font>
    <font>
      <b/>
      <i/>
      <sz val="14"/>
      <name val="Calibri"/>
      <family val="2"/>
    </font>
    <font>
      <b/>
      <sz val="10"/>
      <name val="Calibri"/>
      <family val="2"/>
    </font>
    <font>
      <b/>
      <i/>
      <sz val="9"/>
      <name val="Calibri"/>
      <family val="2"/>
    </font>
    <font>
      <i/>
      <sz val="9"/>
      <name val="Calibri"/>
      <family val="2"/>
    </font>
    <font>
      <b/>
      <i/>
      <sz val="9"/>
      <name val="Courier New"/>
      <family val="3"/>
    </font>
    <font>
      <sz val="11"/>
      <color indexed="13"/>
      <name val="Calibri"/>
      <family val="2"/>
    </font>
    <font>
      <b/>
      <i/>
      <sz val="9"/>
      <color indexed="8"/>
      <name val="Tahoma"/>
      <family val="2"/>
    </font>
    <font>
      <i/>
      <sz val="9"/>
      <color indexed="8"/>
      <name val="Tahoma"/>
      <family val="2"/>
    </font>
    <font>
      <sz val="12"/>
      <color indexed="8"/>
      <name val="Calibri"/>
      <family val="2"/>
    </font>
    <font>
      <sz val="16"/>
      <color indexed="8"/>
      <name val="Calibri"/>
      <family val="2"/>
    </font>
    <font>
      <i/>
      <sz val="14"/>
      <name val="Calibri"/>
      <family val="2"/>
    </font>
    <font>
      <sz val="9"/>
      <name val="Calibri"/>
      <family val="2"/>
    </font>
    <font>
      <i/>
      <sz val="8"/>
      <color indexed="8"/>
      <name val="Tahoma"/>
      <family val="2"/>
    </font>
    <font>
      <b/>
      <i/>
      <sz val="8"/>
      <color indexed="8"/>
      <name val="Tahoma"/>
      <family val="2"/>
    </font>
    <font>
      <b/>
      <sz val="8"/>
      <color indexed="8"/>
      <name val="Tahoma"/>
      <family val="2"/>
    </font>
    <font>
      <b/>
      <sz val="10"/>
      <color indexed="8"/>
      <name val="Calibri"/>
      <family val="2"/>
    </font>
    <font>
      <b/>
      <i/>
      <sz val="16"/>
      <color indexed="8"/>
      <name val="Calibri"/>
      <family val="2"/>
    </font>
    <font>
      <b/>
      <i/>
      <sz val="12"/>
      <color indexed="8"/>
      <name val="Calibri"/>
      <family val="2"/>
    </font>
    <font>
      <sz val="10"/>
      <name val="Calibri"/>
      <family val="2"/>
    </font>
    <font>
      <b/>
      <sz val="16"/>
      <color indexed="9"/>
      <name val="Calibri"/>
      <family val="2"/>
    </font>
    <font>
      <b/>
      <sz val="12"/>
      <color indexed="9"/>
      <name val="Calibri"/>
      <family val="2"/>
    </font>
    <font>
      <b/>
      <i/>
      <sz val="16"/>
      <color indexed="9"/>
      <name val="Calibri"/>
      <family val="2"/>
    </font>
    <font>
      <b/>
      <i/>
      <sz val="12"/>
      <color indexed="9"/>
      <name val="Calibri"/>
      <family val="2"/>
    </font>
    <font>
      <i/>
      <sz val="10"/>
      <name val="Calibri"/>
      <family val="2"/>
    </font>
    <font>
      <i/>
      <sz val="8"/>
      <name val="Calibri"/>
      <family val="2"/>
    </font>
    <font>
      <sz val="12"/>
      <color indexed="14"/>
      <name val="Calibri"/>
      <family val="2"/>
    </font>
    <font>
      <b/>
      <i/>
      <sz val="11"/>
      <color indexed="10"/>
      <name val="Calibri"/>
      <family val="2"/>
    </font>
    <font>
      <b/>
      <i/>
      <sz val="10"/>
      <name val="Calibri"/>
      <family val="2"/>
    </font>
    <font>
      <i/>
      <sz val="12"/>
      <color indexed="42"/>
      <name val="Calibri"/>
      <family val="2"/>
    </font>
    <font>
      <i/>
      <sz val="16"/>
      <color indexed="8"/>
      <name val="Calibri"/>
      <family val="2"/>
    </font>
    <font>
      <b/>
      <i/>
      <sz val="11"/>
      <color indexed="20"/>
      <name val="Calibri"/>
      <family val="2"/>
    </font>
    <font>
      <b/>
      <sz val="10"/>
      <color indexed="10"/>
      <name val="Tahoma"/>
      <family val="2"/>
    </font>
    <font>
      <i/>
      <sz val="10"/>
      <color indexed="8"/>
      <name val="Tahoma"/>
      <family val="2"/>
    </font>
    <font>
      <b/>
      <i/>
      <sz val="10"/>
      <color indexed="8"/>
      <name val="Tahoma"/>
      <family val="2"/>
    </font>
    <font>
      <b/>
      <sz val="24"/>
      <name val="Calibri"/>
      <family val="2"/>
    </font>
    <font>
      <i/>
      <sz val="11"/>
      <color indexed="13"/>
      <name val="Calibri"/>
      <family val="2"/>
    </font>
    <font>
      <i/>
      <sz val="11"/>
      <color indexed="10"/>
      <name val="Calibri"/>
      <family val="2"/>
    </font>
    <font>
      <b/>
      <sz val="11"/>
      <color indexed="17"/>
      <name val="Calibri"/>
      <family val="2"/>
    </font>
    <font>
      <b/>
      <i/>
      <sz val="11"/>
      <color indexed="12"/>
      <name val="Calibri"/>
      <family val="2"/>
    </font>
    <font>
      <sz val="11"/>
      <color indexed="17"/>
      <name val="Calibri"/>
      <family val="2"/>
    </font>
    <font>
      <b/>
      <i/>
      <sz val="11"/>
      <color indexed="17"/>
      <name val="Calibri"/>
      <family val="2"/>
    </font>
    <font>
      <sz val="11"/>
      <color indexed="48"/>
      <name val="Calibri"/>
      <family val="2"/>
    </font>
    <font>
      <b/>
      <sz val="8"/>
      <name val="Calibri"/>
      <family val="2"/>
    </font>
  </fonts>
  <fills count="13">
    <fill>
      <patternFill/>
    </fill>
    <fill>
      <patternFill patternType="gray125"/>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55"/>
        <bgColor indexed="64"/>
      </patternFill>
    </fill>
    <fill>
      <patternFill patternType="solid">
        <fgColor indexed="44"/>
        <bgColor indexed="64"/>
      </patternFill>
    </fill>
  </fills>
  <borders count="50">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style="medium">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92" fontId="0" fillId="0" borderId="0" applyFill="0" applyBorder="0" applyAlignment="0" applyProtection="0"/>
    <xf numFmtId="164" fontId="12" fillId="0" borderId="0" applyNumberFormat="0" applyFill="0" applyBorder="0" applyAlignment="0" applyProtection="0"/>
    <xf numFmtId="165" fontId="0" fillId="0" borderId="0" applyBorder="0" applyAlignment="0" applyProtection="0"/>
    <xf numFmtId="165" fontId="0" fillId="0" borderId="0">
      <alignment/>
      <protection/>
    </xf>
    <xf numFmtId="164" fontId="0" fillId="0" borderId="0">
      <alignment/>
      <protection/>
    </xf>
    <xf numFmtId="164" fontId="0" fillId="0" borderId="0">
      <alignment/>
      <protection/>
    </xf>
  </cellStyleXfs>
  <cellXfs count="597">
    <xf numFmtId="164" fontId="0" fillId="0" borderId="0" xfId="0" applyAlignment="1">
      <alignment/>
    </xf>
    <xf numFmtId="164" fontId="0" fillId="0" borderId="0" xfId="0" applyBorder="1" applyAlignment="1" applyProtection="1">
      <alignment/>
      <protection hidden="1"/>
    </xf>
    <xf numFmtId="164" fontId="0" fillId="0" borderId="0" xfId="0" applyBorder="1" applyAlignment="1" applyProtection="1">
      <alignment wrapText="1"/>
      <protection hidden="1"/>
    </xf>
    <xf numFmtId="164" fontId="0" fillId="0" borderId="0" xfId="0" applyBorder="1" applyAlignment="1" applyProtection="1">
      <alignment horizontal="center"/>
      <protection hidden="1"/>
    </xf>
    <xf numFmtId="164" fontId="2" fillId="0" borderId="0" xfId="0" applyFont="1" applyBorder="1" applyAlignment="1" applyProtection="1">
      <alignment horizontal="right" wrapText="1"/>
      <protection hidden="1"/>
    </xf>
    <xf numFmtId="164" fontId="3" fillId="0" borderId="0" xfId="0" applyFont="1" applyBorder="1" applyAlignment="1" applyProtection="1">
      <alignment horizontal="center" vertical="center" wrapText="1"/>
      <protection hidden="1"/>
    </xf>
    <xf numFmtId="164" fontId="0" fillId="0" borderId="1" xfId="0" applyFont="1" applyBorder="1" applyAlignment="1" applyProtection="1">
      <alignment horizontal="center" vertical="top" wrapText="1"/>
      <protection hidden="1"/>
    </xf>
    <xf numFmtId="164" fontId="0" fillId="0" borderId="0" xfId="0" applyBorder="1" applyAlignment="1" applyProtection="1">
      <alignment horizontal="justify" vertical="top"/>
      <protection hidden="1"/>
    </xf>
    <xf numFmtId="164" fontId="5" fillId="2" borderId="2" xfId="0" applyNumberFormat="1" applyFont="1" applyFill="1" applyBorder="1" applyAlignment="1" applyProtection="1">
      <alignment horizontal="center" vertical="center"/>
      <protection hidden="1"/>
    </xf>
    <xf numFmtId="164" fontId="6" fillId="0" borderId="0" xfId="0" applyFont="1" applyBorder="1" applyAlignment="1" applyProtection="1">
      <alignment vertical="top"/>
      <protection hidden="1"/>
    </xf>
    <xf numFmtId="164" fontId="6" fillId="0" borderId="0" xfId="0" applyFont="1" applyBorder="1" applyAlignment="1" applyProtection="1">
      <alignment/>
      <protection hidden="1"/>
    </xf>
    <xf numFmtId="164" fontId="7" fillId="3" borderId="3" xfId="0" applyNumberFormat="1" applyFont="1" applyFill="1" applyBorder="1" applyAlignment="1" applyProtection="1">
      <alignment horizontal="center" vertical="center"/>
      <protection hidden="1"/>
    </xf>
    <xf numFmtId="164" fontId="5" fillId="4" borderId="3" xfId="0" applyFont="1" applyFill="1" applyBorder="1" applyAlignment="1" applyProtection="1">
      <alignment horizontal="center" vertical="top" wrapText="1"/>
      <protection hidden="1"/>
    </xf>
    <xf numFmtId="164" fontId="8" fillId="4" borderId="3" xfId="0" applyFont="1" applyFill="1" applyBorder="1" applyAlignment="1" applyProtection="1">
      <alignment horizontal="center" vertical="top" wrapText="1"/>
      <protection hidden="1"/>
    </xf>
    <xf numFmtId="164" fontId="5" fillId="5" borderId="3" xfId="0" applyFont="1" applyFill="1" applyBorder="1" applyAlignment="1" applyProtection="1">
      <alignment horizontal="center" vertical="top" wrapText="1"/>
      <protection hidden="1"/>
    </xf>
    <xf numFmtId="164" fontId="5" fillId="0" borderId="4" xfId="0" applyFont="1" applyFill="1" applyBorder="1" applyAlignment="1" applyProtection="1">
      <alignment horizontal="center" vertical="top" wrapText="1"/>
      <protection hidden="1"/>
    </xf>
    <xf numFmtId="164" fontId="7" fillId="6" borderId="3" xfId="0" applyFont="1" applyFill="1" applyBorder="1" applyAlignment="1" applyProtection="1">
      <alignment horizontal="center" vertical="top" wrapText="1"/>
      <protection hidden="1"/>
    </xf>
    <xf numFmtId="164" fontId="12" fillId="0" borderId="5" xfId="20" applyNumberFormat="1" applyFont="1" applyFill="1" applyBorder="1" applyAlignment="1" applyProtection="1">
      <alignment horizontal="left" vertical="top"/>
      <protection/>
    </xf>
    <xf numFmtId="164" fontId="0" fillId="0" borderId="6" xfId="0" applyFont="1" applyBorder="1" applyAlignment="1" applyProtection="1">
      <alignment horizontal="left" vertical="top" wrapText="1"/>
      <protection hidden="1"/>
    </xf>
    <xf numFmtId="164" fontId="0" fillId="0" borderId="7" xfId="0" applyFont="1" applyBorder="1" applyAlignment="1" applyProtection="1">
      <alignment horizontal="left" vertical="top" wrapText="1"/>
      <protection hidden="1"/>
    </xf>
    <xf numFmtId="164" fontId="0" fillId="0" borderId="8" xfId="0" applyFont="1" applyBorder="1" applyAlignment="1" applyProtection="1">
      <alignment horizontal="left" vertical="top" wrapText="1"/>
      <protection hidden="1"/>
    </xf>
    <xf numFmtId="164" fontId="4" fillId="0" borderId="7" xfId="0" applyFont="1" applyBorder="1" applyAlignment="1" applyProtection="1">
      <alignment horizontal="left" vertical="top" wrapText="1"/>
      <protection hidden="1"/>
    </xf>
    <xf numFmtId="164" fontId="12" fillId="0" borderId="9" xfId="20" applyNumberFormat="1" applyFont="1" applyFill="1" applyBorder="1" applyAlignment="1" applyProtection="1">
      <alignment vertical="top"/>
      <protection/>
    </xf>
    <xf numFmtId="164" fontId="5" fillId="0" borderId="7" xfId="0" applyFont="1" applyBorder="1" applyAlignment="1" applyProtection="1">
      <alignment horizontal="left" vertical="top" wrapText="1"/>
      <protection hidden="1"/>
    </xf>
    <xf numFmtId="164" fontId="4" fillId="0" borderId="8" xfId="0" applyFont="1" applyBorder="1" applyAlignment="1" applyProtection="1">
      <alignment horizontal="left" vertical="top" wrapText="1"/>
      <protection hidden="1"/>
    </xf>
    <xf numFmtId="164" fontId="12" fillId="0" borderId="5" xfId="20" applyNumberFormat="1" applyFont="1" applyFill="1" applyBorder="1" applyAlignment="1" applyProtection="1">
      <alignment vertical="top"/>
      <protection/>
    </xf>
    <xf numFmtId="164" fontId="0" fillId="0" borderId="10" xfId="0" applyFont="1" applyBorder="1" applyAlignment="1" applyProtection="1">
      <alignment horizontal="left" vertical="top" wrapText="1"/>
      <protection hidden="1"/>
    </xf>
    <xf numFmtId="164" fontId="12" fillId="0" borderId="11" xfId="20" applyNumberFormat="1" applyFont="1" applyFill="1" applyBorder="1" applyAlignment="1" applyProtection="1">
      <alignment horizontal="left" vertical="center"/>
      <protection hidden="1"/>
    </xf>
    <xf numFmtId="164" fontId="4" fillId="0" borderId="0" xfId="0" applyFont="1" applyBorder="1" applyAlignment="1" applyProtection="1">
      <alignment horizontal="center" vertical="center"/>
      <protection hidden="1"/>
    </xf>
    <xf numFmtId="164" fontId="0" fillId="0" borderId="0" xfId="0" applyBorder="1" applyAlignment="1" applyProtection="1">
      <alignment vertical="center"/>
      <protection hidden="1"/>
    </xf>
    <xf numFmtId="164" fontId="17" fillId="0" borderId="0" xfId="0" applyFont="1" applyBorder="1" applyAlignment="1" applyProtection="1">
      <alignment horizontal="left" wrapText="1"/>
      <protection hidden="1"/>
    </xf>
    <xf numFmtId="164" fontId="18" fillId="0" borderId="0" xfId="0" applyFont="1" applyBorder="1" applyAlignment="1" applyProtection="1">
      <alignment horizontal="left" wrapText="1"/>
      <protection hidden="1"/>
    </xf>
    <xf numFmtId="164" fontId="20" fillId="0" borderId="0" xfId="0" applyFont="1" applyBorder="1" applyAlignment="1" applyProtection="1">
      <alignment horizontal="left" wrapText="1"/>
      <protection hidden="1"/>
    </xf>
    <xf numFmtId="164" fontId="0" fillId="0" borderId="0" xfId="0" applyAlignment="1" applyProtection="1">
      <alignment horizontal="center" vertical="center"/>
      <protection hidden="1"/>
    </xf>
    <xf numFmtId="166" fontId="0" fillId="0" borderId="0" xfId="0" applyNumberFormat="1" applyAlignment="1" applyProtection="1">
      <alignment horizontal="center" vertical="center"/>
      <protection hidden="1"/>
    </xf>
    <xf numFmtId="164" fontId="0" fillId="0" borderId="0" xfId="0" applyFill="1" applyAlignment="1" applyProtection="1">
      <alignment horizontal="center" vertical="center"/>
      <protection hidden="1"/>
    </xf>
    <xf numFmtId="164" fontId="21" fillId="2" borderId="0" xfId="0" applyNumberFormat="1" applyFont="1" applyFill="1" applyBorder="1" applyAlignment="1" applyProtection="1">
      <alignment horizontal="right" vertical="center"/>
      <protection hidden="1"/>
    </xf>
    <xf numFmtId="164" fontId="22" fillId="0" borderId="12" xfId="0" applyNumberFormat="1" applyFont="1" applyFill="1" applyBorder="1" applyAlignment="1" applyProtection="1">
      <alignment vertical="center" wrapText="1"/>
      <protection locked="0"/>
    </xf>
    <xf numFmtId="164" fontId="22" fillId="0" borderId="0" xfId="0" applyNumberFormat="1" applyFont="1" applyFill="1" applyBorder="1" applyAlignment="1" applyProtection="1">
      <alignment horizontal="left" vertical="center" wrapText="1"/>
      <protection/>
    </xf>
    <xf numFmtId="166" fontId="23" fillId="0" borderId="0" xfId="0" applyNumberFormat="1" applyFont="1" applyAlignment="1" applyProtection="1">
      <alignment horizontal="center" vertical="center"/>
      <protection hidden="1"/>
    </xf>
    <xf numFmtId="164" fontId="24" fillId="2" borderId="0" xfId="0" applyNumberFormat="1" applyFont="1" applyFill="1" applyBorder="1" applyAlignment="1" applyProtection="1">
      <alignment horizontal="right" vertical="center"/>
      <protection hidden="1"/>
    </xf>
    <xf numFmtId="164" fontId="2" fillId="0" borderId="12" xfId="0" applyNumberFormat="1" applyFont="1" applyFill="1" applyBorder="1" applyAlignment="1" applyProtection="1">
      <alignment vertical="center"/>
      <protection locked="0"/>
    </xf>
    <xf numFmtId="164" fontId="2" fillId="0" borderId="0" xfId="0" applyNumberFormat="1" applyFont="1" applyFill="1" applyBorder="1" applyAlignment="1" applyProtection="1">
      <alignment horizontal="left" vertical="center"/>
      <protection/>
    </xf>
    <xf numFmtId="166" fontId="25" fillId="0" borderId="0" xfId="0" applyNumberFormat="1" applyFont="1" applyAlignment="1" applyProtection="1">
      <alignment horizontal="center" vertical="center"/>
      <protection hidden="1"/>
    </xf>
    <xf numFmtId="164" fontId="2" fillId="0" borderId="12" xfId="0" applyNumberFormat="1" applyFont="1" applyFill="1" applyBorder="1" applyAlignment="1" applyProtection="1">
      <alignment horizontal="center" vertical="center"/>
      <protection locked="0"/>
    </xf>
    <xf numFmtId="164" fontId="26" fillId="0" borderId="0" xfId="0" applyNumberFormat="1" applyFont="1" applyFill="1" applyBorder="1" applyAlignment="1" applyProtection="1">
      <alignment horizontal="left" vertical="center"/>
      <protection/>
    </xf>
    <xf numFmtId="164" fontId="25" fillId="0" borderId="0" xfId="0" applyNumberFormat="1" applyFont="1" applyAlignment="1" applyProtection="1">
      <alignment horizontal="center" vertical="center"/>
      <protection hidden="1"/>
    </xf>
    <xf numFmtId="164" fontId="27" fillId="4" borderId="0" xfId="0" applyFont="1" applyFill="1" applyAlignment="1" applyProtection="1">
      <alignment horizontal="right" vertical="center"/>
      <protection hidden="1"/>
    </xf>
    <xf numFmtId="167" fontId="28" fillId="4" borderId="0" xfId="15" applyNumberFormat="1" applyFont="1" applyFill="1" applyBorder="1" applyAlignment="1" applyProtection="1">
      <alignment horizontal="center" vertical="center"/>
      <protection/>
    </xf>
    <xf numFmtId="164" fontId="26" fillId="7" borderId="0" xfId="0" applyFont="1" applyFill="1" applyBorder="1" applyAlignment="1" applyProtection="1">
      <alignment horizontal="center" vertical="center" wrapText="1"/>
      <protection hidden="1"/>
    </xf>
    <xf numFmtId="164" fontId="6" fillId="0" borderId="0" xfId="0" applyFont="1" applyFill="1" applyAlignment="1" applyProtection="1">
      <alignment horizontal="left" vertical="top"/>
      <protection hidden="1"/>
    </xf>
    <xf numFmtId="164" fontId="25" fillId="0" borderId="0" xfId="0" applyFont="1" applyFill="1" applyAlignment="1" applyProtection="1">
      <alignment horizontal="center" vertical="center"/>
      <protection hidden="1"/>
    </xf>
    <xf numFmtId="164" fontId="29" fillId="4" borderId="0" xfId="0" applyFont="1" applyFill="1" applyAlignment="1" applyProtection="1">
      <alignment horizontal="right" vertical="center"/>
      <protection hidden="1"/>
    </xf>
    <xf numFmtId="167" fontId="30" fillId="4" borderId="0" xfId="15" applyNumberFormat="1" applyFont="1" applyFill="1" applyBorder="1" applyAlignment="1" applyProtection="1">
      <alignment horizontal="center" vertical="center"/>
      <protection/>
    </xf>
    <xf numFmtId="168" fontId="31" fillId="0" borderId="12" xfId="21" applyNumberFormat="1" applyFont="1" applyFill="1" applyBorder="1" applyAlignment="1" applyProtection="1">
      <alignment horizontal="center" vertical="center"/>
      <protection locked="0"/>
    </xf>
    <xf numFmtId="164" fontId="0" fillId="0" borderId="0" xfId="0" applyFont="1" applyFill="1" applyBorder="1" applyAlignment="1" applyProtection="1">
      <alignment horizontal="center" vertical="center" wrapText="1"/>
      <protection hidden="1"/>
    </xf>
    <xf numFmtId="169" fontId="28" fillId="4" borderId="0" xfId="0" applyNumberFormat="1" applyFont="1" applyFill="1" applyBorder="1" applyAlignment="1" applyProtection="1">
      <alignment horizontal="center" vertical="center"/>
      <protection/>
    </xf>
    <xf numFmtId="164" fontId="6" fillId="0" borderId="0" xfId="0" applyFont="1" applyAlignment="1" applyProtection="1">
      <alignment horizontal="left" vertical="top"/>
      <protection hidden="1"/>
    </xf>
    <xf numFmtId="164" fontId="25" fillId="0" borderId="0" xfId="0" applyFont="1" applyAlignment="1" applyProtection="1">
      <alignment horizontal="center" vertical="center"/>
      <protection hidden="1"/>
    </xf>
    <xf numFmtId="164" fontId="24" fillId="2" borderId="0" xfId="0" applyFont="1" applyFill="1" applyBorder="1" applyAlignment="1" applyProtection="1">
      <alignment horizontal="right" vertical="center"/>
      <protection hidden="1"/>
    </xf>
    <xf numFmtId="167" fontId="31" fillId="0" borderId="12" xfId="21" applyNumberFormat="1" applyFont="1" applyBorder="1" applyAlignment="1" applyProtection="1">
      <alignment horizontal="center" vertical="center"/>
      <protection locked="0"/>
    </xf>
    <xf numFmtId="170" fontId="28" fillId="4" borderId="0" xfId="0" applyNumberFormat="1" applyFont="1" applyFill="1" applyBorder="1" applyAlignment="1" applyProtection="1">
      <alignment horizontal="center" vertical="center"/>
      <protection/>
    </xf>
    <xf numFmtId="171" fontId="31" fillId="0" borderId="12" xfId="0" applyNumberFormat="1" applyFont="1" applyFill="1" applyBorder="1" applyAlignment="1" applyProtection="1">
      <alignment horizontal="center" vertical="center"/>
      <protection locked="0"/>
    </xf>
    <xf numFmtId="164" fontId="32" fillId="7" borderId="13" xfId="0" applyNumberFormat="1" applyFont="1" applyFill="1" applyBorder="1" applyAlignment="1" applyProtection="1">
      <alignment horizontal="center" vertical="center" wrapText="1"/>
      <protection hidden="1"/>
    </xf>
    <xf numFmtId="173" fontId="25" fillId="5" borderId="0" xfId="0" applyNumberFormat="1" applyFont="1" applyFill="1" applyBorder="1" applyAlignment="1" applyProtection="1">
      <alignment horizontal="center" vertical="center"/>
      <protection/>
    </xf>
    <xf numFmtId="167" fontId="31" fillId="0" borderId="12" xfId="0" applyNumberFormat="1" applyFont="1" applyFill="1" applyBorder="1" applyAlignment="1" applyProtection="1">
      <alignment horizontal="center" vertical="center"/>
      <protection locked="0"/>
    </xf>
    <xf numFmtId="170" fontId="25" fillId="5" borderId="0" xfId="0" applyNumberFormat="1" applyFont="1" applyFill="1" applyBorder="1" applyAlignment="1" applyProtection="1">
      <alignment horizontal="center" vertical="center"/>
      <protection/>
    </xf>
    <xf numFmtId="167" fontId="31" fillId="0" borderId="12" xfId="15" applyNumberFormat="1" applyFont="1" applyFill="1" applyBorder="1" applyAlignment="1" applyProtection="1">
      <alignment horizontal="center" vertical="center"/>
      <protection locked="0"/>
    </xf>
    <xf numFmtId="174" fontId="31" fillId="0" borderId="12" xfId="0" applyNumberFormat="1" applyFont="1" applyFill="1" applyBorder="1" applyAlignment="1" applyProtection="1">
      <alignment horizontal="center" vertical="center"/>
      <protection locked="0"/>
    </xf>
    <xf numFmtId="164" fontId="17" fillId="7" borderId="0" xfId="0" applyFont="1" applyFill="1" applyBorder="1" applyAlignment="1" applyProtection="1">
      <alignment horizontal="right" vertical="center" wrapText="1"/>
      <protection hidden="1"/>
    </xf>
    <xf numFmtId="175" fontId="28" fillId="4" borderId="0" xfId="0" applyNumberFormat="1" applyFont="1" applyFill="1" applyAlignment="1" applyProtection="1">
      <alignment horizontal="center" vertical="top"/>
      <protection/>
    </xf>
    <xf numFmtId="176" fontId="28" fillId="4" borderId="0" xfId="0" applyNumberFormat="1" applyFont="1" applyFill="1" applyAlignment="1" applyProtection="1">
      <alignment horizontal="center" vertical="top"/>
      <protection/>
    </xf>
    <xf numFmtId="164" fontId="8" fillId="0" borderId="0" xfId="0" applyNumberFormat="1" applyFont="1" applyFill="1" applyBorder="1" applyAlignment="1" applyProtection="1">
      <alignment horizontal="left" vertical="center" wrapText="1"/>
      <protection hidden="1"/>
    </xf>
    <xf numFmtId="164" fontId="26" fillId="0" borderId="0" xfId="0" applyFont="1" applyFill="1" applyBorder="1" applyAlignment="1" applyProtection="1">
      <alignment horizontal="right" vertical="top" wrapText="1"/>
      <protection hidden="1"/>
    </xf>
    <xf numFmtId="167" fontId="25" fillId="5" borderId="0" xfId="15" applyNumberFormat="1" applyFont="1" applyFill="1" applyBorder="1" applyAlignment="1" applyProtection="1">
      <alignment horizontal="center" vertical="center"/>
      <protection/>
    </xf>
    <xf numFmtId="170" fontId="33" fillId="4" borderId="0" xfId="15" applyNumberFormat="1" applyFont="1" applyFill="1" applyBorder="1" applyAlignment="1" applyProtection="1">
      <alignment horizontal="center" vertical="center"/>
      <protection/>
    </xf>
    <xf numFmtId="165" fontId="25" fillId="0" borderId="0" xfId="15" applyFont="1" applyBorder="1" applyAlignment="1" applyProtection="1">
      <alignment horizontal="center" vertical="center"/>
      <protection hidden="1"/>
    </xf>
    <xf numFmtId="164" fontId="34" fillId="2" borderId="0" xfId="0" applyFont="1" applyFill="1" applyBorder="1" applyAlignment="1" applyProtection="1">
      <alignment horizontal="right" vertical="center"/>
      <protection hidden="1"/>
    </xf>
    <xf numFmtId="167" fontId="35" fillId="0" borderId="12" xfId="0" applyNumberFormat="1" applyFont="1" applyFill="1" applyBorder="1" applyAlignment="1" applyProtection="1">
      <alignment horizontal="center" vertical="center"/>
      <protection locked="0"/>
    </xf>
    <xf numFmtId="177" fontId="30" fillId="2" borderId="13" xfId="0" applyNumberFormat="1" applyFont="1" applyFill="1" applyBorder="1" applyAlignment="1" applyProtection="1">
      <alignment horizontal="left" vertical="center"/>
      <protection/>
    </xf>
    <xf numFmtId="174" fontId="30" fillId="2" borderId="0" xfId="0" applyNumberFormat="1" applyFont="1" applyFill="1" applyBorder="1" applyAlignment="1" applyProtection="1">
      <alignment horizontal="left" vertical="center"/>
      <protection/>
    </xf>
    <xf numFmtId="174" fontId="30" fillId="0" borderId="0" xfId="0" applyNumberFormat="1" applyFont="1" applyFill="1" applyBorder="1" applyAlignment="1" applyProtection="1">
      <alignment horizontal="left" vertical="center"/>
      <protection/>
    </xf>
    <xf numFmtId="164" fontId="17" fillId="0" borderId="0" xfId="0" applyFont="1" applyFill="1" applyBorder="1" applyAlignment="1" applyProtection="1">
      <alignment horizontal="center" wrapText="1"/>
      <protection hidden="1"/>
    </xf>
    <xf numFmtId="164" fontId="36" fillId="0" borderId="0" xfId="0" applyNumberFormat="1" applyFont="1" applyFill="1" applyBorder="1" applyAlignment="1" applyProtection="1">
      <alignment horizontal="center" vertical="center"/>
      <protection hidden="1"/>
    </xf>
    <xf numFmtId="175" fontId="37" fillId="4" borderId="0" xfId="0" applyNumberFormat="1" applyFont="1" applyFill="1" applyBorder="1" applyAlignment="1" applyProtection="1">
      <alignment horizontal="center" vertical="center"/>
      <protection/>
    </xf>
    <xf numFmtId="164" fontId="8" fillId="4" borderId="0" xfId="0" applyFont="1" applyFill="1" applyAlignment="1" applyProtection="1">
      <alignment horizontal="center" vertical="center"/>
      <protection hidden="1"/>
    </xf>
    <xf numFmtId="174" fontId="28" fillId="4" borderId="0" xfId="0" applyNumberFormat="1" applyFont="1" applyFill="1" applyBorder="1" applyAlignment="1" applyProtection="1">
      <alignment horizontal="center" vertical="center"/>
      <protection/>
    </xf>
    <xf numFmtId="176" fontId="25" fillId="5" borderId="0" xfId="0" applyNumberFormat="1" applyFont="1" applyFill="1" applyAlignment="1" applyProtection="1">
      <alignment horizontal="center" vertical="top"/>
      <protection/>
    </xf>
    <xf numFmtId="178" fontId="6" fillId="0" borderId="0" xfId="15" applyNumberFormat="1" applyFont="1" applyBorder="1" applyAlignment="1" applyProtection="1">
      <alignment horizontal="left" vertical="top"/>
      <protection hidden="1"/>
    </xf>
    <xf numFmtId="164" fontId="5" fillId="4" borderId="0" xfId="0" applyFont="1" applyFill="1" applyAlignment="1" applyProtection="1">
      <alignment horizontal="right" vertical="center"/>
      <protection hidden="1"/>
    </xf>
    <xf numFmtId="168" fontId="28" fillId="4" borderId="0" xfId="15" applyNumberFormat="1" applyFont="1" applyFill="1" applyBorder="1" applyAlignment="1" applyProtection="1">
      <alignment horizontal="center" vertical="center"/>
      <protection/>
    </xf>
    <xf numFmtId="164" fontId="17" fillId="0" borderId="0" xfId="0" applyFont="1" applyFill="1" applyBorder="1" applyAlignment="1" applyProtection="1">
      <alignment horizontal="center" vertical="top" wrapText="1"/>
      <protection hidden="1"/>
    </xf>
    <xf numFmtId="168" fontId="28" fillId="5" borderId="0" xfId="0" applyNumberFormat="1" applyFont="1" applyFill="1" applyBorder="1" applyAlignment="1" applyProtection="1">
      <alignment horizontal="center" vertical="top"/>
      <protection/>
    </xf>
    <xf numFmtId="169" fontId="28" fillId="4" borderId="0" xfId="15" applyNumberFormat="1" applyFont="1" applyFill="1" applyBorder="1" applyAlignment="1" applyProtection="1">
      <alignment horizontal="center" vertical="center"/>
      <protection/>
    </xf>
    <xf numFmtId="170" fontId="28" fillId="4" borderId="0" xfId="15" applyNumberFormat="1" applyFont="1" applyFill="1" applyBorder="1" applyAlignment="1" applyProtection="1">
      <alignment horizontal="center" vertical="center"/>
      <protection/>
    </xf>
    <xf numFmtId="164" fontId="38" fillId="4" borderId="0" xfId="0" applyFont="1" applyFill="1" applyBorder="1" applyAlignment="1" applyProtection="1">
      <alignment horizontal="right" vertical="center"/>
      <protection hidden="1"/>
    </xf>
    <xf numFmtId="174" fontId="39" fillId="4" borderId="12" xfId="15" applyNumberFormat="1" applyFont="1" applyFill="1" applyBorder="1" applyAlignment="1" applyProtection="1">
      <alignment horizontal="center" vertical="center"/>
      <protection/>
    </xf>
    <xf numFmtId="174" fontId="28" fillId="4" borderId="0" xfId="15" applyNumberFormat="1" applyFont="1" applyFill="1" applyBorder="1" applyAlignment="1" applyProtection="1">
      <alignment horizontal="center" vertical="center"/>
      <protection/>
    </xf>
    <xf numFmtId="164" fontId="0" fillId="5" borderId="0"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vertical="center"/>
      <protection/>
    </xf>
    <xf numFmtId="166" fontId="0" fillId="0" borderId="0" xfId="0" applyNumberFormat="1" applyFont="1" applyFill="1" applyAlignment="1" applyProtection="1">
      <alignment horizontal="center" vertical="center"/>
      <protection hidden="1"/>
    </xf>
    <xf numFmtId="166" fontId="0" fillId="5" borderId="0" xfId="0" applyNumberFormat="1" applyFont="1" applyFill="1" applyAlignment="1" applyProtection="1">
      <alignment horizontal="center" vertical="center"/>
      <protection hidden="1"/>
    </xf>
    <xf numFmtId="166" fontId="0" fillId="8" borderId="0" xfId="0" applyNumberFormat="1" applyFont="1" applyFill="1" applyAlignment="1" applyProtection="1">
      <alignment horizontal="center" vertical="center"/>
      <protection hidden="1"/>
    </xf>
    <xf numFmtId="164" fontId="0" fillId="0" borderId="0" xfId="0" applyNumberFormat="1" applyBorder="1" applyAlignment="1" applyProtection="1">
      <alignment horizontal="left" vertical="center"/>
      <protection/>
    </xf>
    <xf numFmtId="164" fontId="0" fillId="0" borderId="0" xfId="0" applyNumberFormat="1" applyBorder="1" applyAlignment="1" applyProtection="1">
      <alignment horizontal="center" vertical="center"/>
      <protection/>
    </xf>
    <xf numFmtId="164" fontId="0" fillId="0" borderId="0" xfId="0" applyNumberFormat="1" applyBorder="1" applyAlignment="1" applyProtection="1">
      <alignment vertical="center"/>
      <protection/>
    </xf>
    <xf numFmtId="164" fontId="40" fillId="0" borderId="0" xfId="0" applyNumberFormat="1" applyFont="1" applyBorder="1" applyAlignment="1" applyProtection="1">
      <alignment horizontal="center" vertical="center"/>
      <protection/>
    </xf>
    <xf numFmtId="164" fontId="41" fillId="0" borderId="0" xfId="0" applyNumberFormat="1" applyFont="1" applyBorder="1" applyAlignment="1" applyProtection="1">
      <alignment horizontal="center" vertical="center"/>
      <protection/>
    </xf>
    <xf numFmtId="164" fontId="26" fillId="0" borderId="0" xfId="0" applyNumberFormat="1" applyFont="1" applyBorder="1" applyAlignment="1" applyProtection="1">
      <alignment horizontal="center" vertical="center"/>
      <protection/>
    </xf>
    <xf numFmtId="164" fontId="17" fillId="0" borderId="0" xfId="0" applyNumberFormat="1" applyFont="1" applyBorder="1" applyAlignment="1" applyProtection="1">
      <alignment horizontal="center" vertical="center"/>
      <protection/>
    </xf>
    <xf numFmtId="164" fontId="8" fillId="0" borderId="0" xfId="0" applyNumberFormat="1" applyFont="1" applyBorder="1" applyAlignment="1" applyProtection="1">
      <alignment horizontal="center" vertical="center"/>
      <protection/>
    </xf>
    <xf numFmtId="164" fontId="42" fillId="0" borderId="0" xfId="0" applyNumberFormat="1" applyFont="1" applyFill="1" applyBorder="1" applyAlignment="1" applyProtection="1">
      <alignment horizontal="center" vertical="center"/>
      <protection/>
    </xf>
    <xf numFmtId="164" fontId="22" fillId="0" borderId="0" xfId="0" applyNumberFormat="1" applyFont="1" applyFill="1" applyBorder="1" applyAlignment="1" applyProtection="1">
      <alignment horizontal="center" vertical="center"/>
      <protection/>
    </xf>
    <xf numFmtId="164" fontId="22" fillId="0" borderId="0" xfId="0" applyNumberFormat="1" applyFont="1" applyFill="1" applyBorder="1" applyAlignment="1" applyProtection="1">
      <alignment vertical="center"/>
      <protection/>
    </xf>
    <xf numFmtId="164" fontId="22" fillId="0" borderId="0" xfId="0" applyNumberFormat="1" applyFont="1" applyFill="1" applyBorder="1" applyAlignment="1" applyProtection="1">
      <alignment horizontal="left" vertical="center"/>
      <protection/>
    </xf>
    <xf numFmtId="164" fontId="43" fillId="0" borderId="0" xfId="0" applyNumberFormat="1" applyFont="1" applyFill="1" applyBorder="1" applyAlignment="1" applyProtection="1">
      <alignment horizontal="left" vertical="center"/>
      <protection/>
    </xf>
    <xf numFmtId="164" fontId="44" fillId="0" borderId="0" xfId="0" applyNumberFormat="1" applyFont="1" applyFill="1" applyBorder="1" applyAlignment="1" applyProtection="1">
      <alignment horizontal="left" vertical="center"/>
      <protection/>
    </xf>
    <xf numFmtId="164" fontId="23" fillId="0" borderId="0" xfId="0" applyNumberFormat="1" applyFont="1" applyFill="1" applyBorder="1" applyAlignment="1" applyProtection="1">
      <alignment horizontal="center" vertical="center"/>
      <protection/>
    </xf>
    <xf numFmtId="164" fontId="45" fillId="0" borderId="0" xfId="0" applyNumberFormat="1" applyFont="1" applyFill="1" applyBorder="1" applyAlignment="1" applyProtection="1">
      <alignment vertical="center"/>
      <protection/>
    </xf>
    <xf numFmtId="164" fontId="45" fillId="0" borderId="0" xfId="0" applyNumberFormat="1" applyFont="1" applyFill="1" applyBorder="1" applyAlignment="1" applyProtection="1">
      <alignment horizontal="center" vertical="center"/>
      <protection/>
    </xf>
    <xf numFmtId="164" fontId="46" fillId="0" borderId="0" xfId="0" applyNumberFormat="1" applyFont="1" applyFill="1" applyBorder="1" applyAlignment="1" applyProtection="1">
      <alignment horizontal="center" vertical="center"/>
      <protection/>
    </xf>
    <xf numFmtId="164" fontId="33" fillId="0" borderId="0" xfId="0" applyNumberFormat="1" applyFont="1" applyFill="1" applyBorder="1" applyAlignment="1" applyProtection="1">
      <alignment vertical="center"/>
      <protection/>
    </xf>
    <xf numFmtId="164" fontId="33" fillId="0" borderId="0" xfId="0" applyNumberFormat="1" applyFont="1" applyFill="1" applyBorder="1" applyAlignment="1" applyProtection="1">
      <alignment horizontal="left" vertical="center"/>
      <protection/>
    </xf>
    <xf numFmtId="164" fontId="25" fillId="0" borderId="0" xfId="0" applyNumberFormat="1" applyFont="1" applyFill="1" applyBorder="1" applyAlignment="1" applyProtection="1">
      <alignment horizontal="center" vertical="center"/>
      <protection/>
    </xf>
    <xf numFmtId="164" fontId="33" fillId="0" borderId="0" xfId="0" applyNumberFormat="1" applyFont="1" applyFill="1" applyBorder="1" applyAlignment="1" applyProtection="1">
      <alignment horizontal="center" vertical="center"/>
      <protection/>
    </xf>
    <xf numFmtId="164" fontId="47" fillId="0" borderId="0" xfId="0" applyNumberFormat="1" applyFont="1" applyFill="1" applyBorder="1" applyAlignment="1" applyProtection="1">
      <alignment horizontal="center" vertical="center"/>
      <protection/>
    </xf>
    <xf numFmtId="164" fontId="24" fillId="2" borderId="14" xfId="0" applyNumberFormat="1" applyFont="1" applyFill="1" applyBorder="1" applyAlignment="1" applyProtection="1">
      <alignment horizontal="center" vertical="center"/>
      <protection/>
    </xf>
    <xf numFmtId="179" fontId="48" fillId="2" borderId="15" xfId="0" applyNumberFormat="1" applyFont="1" applyFill="1" applyBorder="1" applyAlignment="1" applyProtection="1">
      <alignment horizontal="center" vertical="center" wrapText="1"/>
      <protection/>
    </xf>
    <xf numFmtId="164" fontId="16" fillId="2" borderId="15" xfId="0" applyNumberFormat="1" applyFont="1" applyFill="1" applyBorder="1" applyAlignment="1" applyProtection="1">
      <alignment vertical="center"/>
      <protection/>
    </xf>
    <xf numFmtId="164" fontId="16" fillId="2" borderId="15" xfId="0" applyNumberFormat="1" applyFont="1" applyFill="1" applyBorder="1" applyAlignment="1" applyProtection="1">
      <alignment horizontal="center" vertical="center"/>
      <protection/>
    </xf>
    <xf numFmtId="164" fontId="48" fillId="2" borderId="15" xfId="0" applyNumberFormat="1" applyFont="1" applyFill="1" applyBorder="1" applyAlignment="1" applyProtection="1">
      <alignment horizontal="center" vertical="center"/>
      <protection/>
    </xf>
    <xf numFmtId="164" fontId="5" fillId="2" borderId="15" xfId="0" applyNumberFormat="1" applyFont="1" applyFill="1" applyBorder="1" applyAlignment="1" applyProtection="1">
      <alignment horizontal="center" vertical="center"/>
      <protection/>
    </xf>
    <xf numFmtId="164" fontId="24" fillId="2" borderId="16" xfId="0" applyNumberFormat="1" applyFont="1" applyFill="1" applyBorder="1" applyAlignment="1" applyProtection="1">
      <alignment horizontal="center" vertical="center"/>
      <protection/>
    </xf>
    <xf numFmtId="164" fontId="49" fillId="4" borderId="0" xfId="0" applyNumberFormat="1" applyFont="1" applyFill="1" applyBorder="1" applyAlignment="1" applyProtection="1">
      <alignment horizontal="center" vertical="center"/>
      <protection/>
    </xf>
    <xf numFmtId="164" fontId="50" fillId="4" borderId="0" xfId="0" applyNumberFormat="1" applyFont="1" applyFill="1" applyBorder="1" applyAlignment="1" applyProtection="1">
      <alignment horizontal="center" vertical="center" textRotation="90"/>
      <protection/>
    </xf>
    <xf numFmtId="164" fontId="50" fillId="4" borderId="0" xfId="0" applyNumberFormat="1" applyFont="1" applyFill="1" applyBorder="1" applyAlignment="1" applyProtection="1">
      <alignment horizontal="center" vertical="center"/>
      <protection/>
    </xf>
    <xf numFmtId="164" fontId="5" fillId="0" borderId="0" xfId="0" applyNumberFormat="1" applyFont="1" applyFill="1" applyBorder="1" applyAlignment="1" applyProtection="1">
      <alignment horizontal="center" vertical="center" wrapText="1"/>
      <protection/>
    </xf>
    <xf numFmtId="164" fontId="0" fillId="0" borderId="4" xfId="0" applyFont="1" applyBorder="1" applyAlignment="1" applyProtection="1">
      <alignment/>
      <protection locked="0"/>
    </xf>
    <xf numFmtId="179" fontId="0" fillId="0" borderId="4" xfId="0" applyNumberFormat="1" applyBorder="1" applyAlignment="1" applyProtection="1">
      <alignment horizontal="center"/>
      <protection locked="0"/>
    </xf>
    <xf numFmtId="164" fontId="0" fillId="0" borderId="4" xfId="0" applyFont="1" applyBorder="1" applyAlignment="1" applyProtection="1">
      <alignment wrapText="1"/>
      <protection locked="0"/>
    </xf>
    <xf numFmtId="164" fontId="0" fillId="0" borderId="4" xfId="0" applyBorder="1" applyAlignment="1" applyProtection="1">
      <alignment/>
      <protection locked="0"/>
    </xf>
    <xf numFmtId="180" fontId="0" fillId="0" borderId="4" xfId="0" applyNumberFormat="1" applyBorder="1" applyAlignment="1" applyProtection="1">
      <alignment/>
      <protection locked="0"/>
    </xf>
    <xf numFmtId="164" fontId="0" fillId="0" borderId="4" xfId="0" applyNumberFormat="1" applyFont="1" applyFill="1" applyBorder="1" applyAlignment="1" applyProtection="1">
      <alignment horizontal="left" vertical="center" shrinkToFit="1"/>
      <protection locked="0"/>
    </xf>
    <xf numFmtId="164" fontId="49" fillId="0" borderId="0" xfId="0" applyNumberFormat="1" applyFont="1" applyFill="1" applyBorder="1" applyAlignment="1" applyProtection="1">
      <alignment horizontal="center" vertical="center"/>
      <protection/>
    </xf>
    <xf numFmtId="164" fontId="51" fillId="0" borderId="0" xfId="0" applyNumberFormat="1" applyFont="1" applyFill="1" applyBorder="1" applyAlignment="1" applyProtection="1">
      <alignment horizontal="center" vertical="center"/>
      <protection/>
    </xf>
    <xf numFmtId="164" fontId="0" fillId="0" borderId="0" xfId="0" applyNumberFormat="1" applyBorder="1" applyAlignment="1" applyProtection="1">
      <alignment horizontal="left" vertical="center" shrinkToFit="1"/>
      <protection/>
    </xf>
    <xf numFmtId="164" fontId="0" fillId="0" borderId="17" xfId="0" applyFont="1" applyBorder="1" applyAlignment="1" applyProtection="1">
      <alignment/>
      <protection locked="0"/>
    </xf>
    <xf numFmtId="179" fontId="0" fillId="0" borderId="17" xfId="0" applyNumberFormat="1" applyBorder="1" applyAlignment="1" applyProtection="1">
      <alignment horizontal="center"/>
      <protection locked="0"/>
    </xf>
    <xf numFmtId="164" fontId="0" fillId="0" borderId="17" xfId="0" applyBorder="1" applyAlignment="1" applyProtection="1">
      <alignment/>
      <protection locked="0"/>
    </xf>
    <xf numFmtId="180" fontId="0" fillId="0" borderId="17" xfId="0" applyNumberFormat="1" applyBorder="1" applyAlignment="1" applyProtection="1">
      <alignment/>
      <protection locked="0"/>
    </xf>
    <xf numFmtId="164" fontId="0" fillId="0" borderId="17" xfId="0" applyNumberFormat="1" applyFont="1" applyFill="1" applyBorder="1" applyAlignment="1" applyProtection="1">
      <alignment horizontal="left" vertical="center" shrinkToFit="1"/>
      <protection locked="0"/>
    </xf>
    <xf numFmtId="164" fontId="0" fillId="0" borderId="0" xfId="0" applyAlignment="1" applyProtection="1">
      <alignment/>
      <protection locked="0"/>
    </xf>
    <xf numFmtId="164" fontId="0" fillId="0" borderId="17" xfId="0" applyFont="1" applyBorder="1" applyAlignment="1" applyProtection="1">
      <alignment horizontal="left" vertical="center"/>
      <protection locked="0"/>
    </xf>
    <xf numFmtId="179" fontId="0" fillId="0" borderId="17" xfId="0" applyNumberFormat="1" applyBorder="1" applyAlignment="1" applyProtection="1">
      <alignment horizontal="center" vertical="center"/>
      <protection locked="0"/>
    </xf>
    <xf numFmtId="179" fontId="0" fillId="0" borderId="17" xfId="0" applyNumberFormat="1" applyFont="1" applyFill="1" applyBorder="1" applyAlignment="1" applyProtection="1">
      <alignment vertical="center" shrinkToFit="1"/>
      <protection locked="0"/>
    </xf>
    <xf numFmtId="164" fontId="0" fillId="0" borderId="17" xfId="0" applyNumberFormat="1" applyFill="1" applyBorder="1" applyAlignment="1" applyProtection="1">
      <alignment horizontal="left" vertical="center" shrinkToFit="1"/>
      <protection locked="0"/>
    </xf>
    <xf numFmtId="166" fontId="40" fillId="0" borderId="17" xfId="0" applyNumberFormat="1" applyFont="1" applyFill="1" applyBorder="1" applyAlignment="1" applyProtection="1">
      <alignment horizontal="left" vertical="center" shrinkToFit="1"/>
      <protection locked="0"/>
    </xf>
    <xf numFmtId="179" fontId="0" fillId="0" borderId="17" xfId="0" applyNumberFormat="1" applyFont="1" applyFill="1" applyBorder="1" applyAlignment="1" applyProtection="1">
      <alignment horizontal="left" vertical="center" shrinkToFit="1"/>
      <protection locked="0"/>
    </xf>
    <xf numFmtId="164" fontId="0" fillId="0" borderId="17" xfId="0" applyFont="1" applyBorder="1" applyAlignment="1" applyProtection="1">
      <alignment horizontal="left" vertical="center" wrapText="1"/>
      <protection locked="0"/>
    </xf>
    <xf numFmtId="164" fontId="0" fillId="0" borderId="0" xfId="0" applyFont="1" applyAlignment="1">
      <alignment/>
    </xf>
    <xf numFmtId="164" fontId="52" fillId="0" borderId="0" xfId="0" applyNumberFormat="1" applyFont="1" applyFill="1" applyBorder="1" applyAlignment="1" applyProtection="1">
      <alignment horizontal="right" vertical="center"/>
      <protection/>
    </xf>
    <xf numFmtId="164" fontId="0" fillId="0" borderId="0" xfId="24" applyNumberFormat="1" applyBorder="1" applyAlignment="1" applyProtection="1">
      <alignment vertical="center"/>
      <protection/>
    </xf>
    <xf numFmtId="164" fontId="0" fillId="0" borderId="0" xfId="24" applyNumberFormat="1" applyBorder="1" applyAlignment="1" applyProtection="1">
      <alignment horizontal="center" vertical="center"/>
      <protection/>
    </xf>
    <xf numFmtId="164" fontId="0" fillId="0" borderId="0" xfId="0" applyNumberFormat="1" applyBorder="1" applyAlignment="1" applyProtection="1">
      <alignment horizontal="center" vertical="center" wrapText="1"/>
      <protection/>
    </xf>
    <xf numFmtId="164" fontId="0" fillId="0" borderId="0" xfId="24" applyNumberFormat="1" applyFont="1" applyBorder="1" applyAlignment="1" applyProtection="1">
      <alignment vertical="center"/>
      <protection/>
    </xf>
    <xf numFmtId="164" fontId="0" fillId="0" borderId="0" xfId="24" applyNumberFormat="1" applyFont="1" applyBorder="1" applyAlignment="1" applyProtection="1">
      <alignment horizontal="center" vertical="center"/>
      <protection/>
    </xf>
    <xf numFmtId="164" fontId="0" fillId="0" borderId="0" xfId="0" applyNumberFormat="1" applyAlignment="1" applyProtection="1">
      <alignment horizontal="center" vertical="center"/>
      <protection/>
    </xf>
    <xf numFmtId="164" fontId="55" fillId="0" borderId="0" xfId="0" applyNumberFormat="1" applyFont="1" applyAlignment="1" applyProtection="1">
      <alignment horizontal="center" vertical="center"/>
      <protection/>
    </xf>
    <xf numFmtId="164" fontId="0" fillId="0" borderId="0" xfId="0" applyNumberFormat="1" applyAlignment="1" applyProtection="1">
      <alignment horizontal="left" vertical="center"/>
      <protection/>
    </xf>
    <xf numFmtId="166" fontId="0" fillId="0" borderId="0" xfId="0" applyNumberFormat="1" applyAlignment="1" applyProtection="1">
      <alignment horizontal="left" vertical="center"/>
      <protection/>
    </xf>
    <xf numFmtId="164" fontId="3" fillId="0" borderId="18" xfId="0" applyNumberFormat="1" applyFont="1" applyFill="1" applyBorder="1" applyAlignment="1" applyProtection="1">
      <alignment horizontal="center" vertical="center"/>
      <protection/>
    </xf>
    <xf numFmtId="164" fontId="3" fillId="0" borderId="0" xfId="0" applyNumberFormat="1" applyFont="1" applyFill="1" applyBorder="1" applyAlignment="1" applyProtection="1">
      <alignment horizontal="center" vertical="center"/>
      <protection/>
    </xf>
    <xf numFmtId="164" fontId="3" fillId="0" borderId="0" xfId="0" applyNumberFormat="1" applyFont="1" applyFill="1" applyBorder="1" applyAlignment="1" applyProtection="1">
      <alignment horizontal="left" vertical="center"/>
      <protection/>
    </xf>
    <xf numFmtId="164" fontId="56" fillId="0" borderId="0" xfId="0" applyNumberFormat="1" applyFont="1" applyFill="1" applyAlignment="1" applyProtection="1">
      <alignment horizontal="center" vertical="center"/>
      <protection/>
    </xf>
    <xf numFmtId="164" fontId="42" fillId="0" borderId="19"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164" fontId="25" fillId="0" borderId="0" xfId="0" applyNumberFormat="1" applyFont="1" applyFill="1" applyAlignment="1" applyProtection="1">
      <alignment horizontal="center" vertical="center"/>
      <protection/>
    </xf>
    <xf numFmtId="164" fontId="57" fillId="4" borderId="5" xfId="0" applyNumberFormat="1" applyFont="1" applyFill="1" applyBorder="1" applyAlignment="1" applyProtection="1">
      <alignment horizontal="center" vertical="center" wrapText="1"/>
      <protection/>
    </xf>
    <xf numFmtId="164" fontId="29" fillId="4" borderId="5" xfId="0" applyNumberFormat="1" applyFont="1" applyFill="1" applyBorder="1" applyAlignment="1" applyProtection="1">
      <alignment horizontal="center" vertical="center" wrapText="1"/>
      <protection/>
    </xf>
    <xf numFmtId="164" fontId="15" fillId="4" borderId="12" xfId="0" applyNumberFormat="1" applyFont="1" applyFill="1" applyBorder="1" applyAlignment="1" applyProtection="1">
      <alignment horizontal="center" vertical="center" wrapText="1"/>
      <protection/>
    </xf>
    <xf numFmtId="164" fontId="34" fillId="2" borderId="12" xfId="0" applyNumberFormat="1" applyFont="1" applyFill="1" applyBorder="1" applyAlignment="1" applyProtection="1">
      <alignment horizontal="center" vertical="center" wrapText="1"/>
      <protection/>
    </xf>
    <xf numFmtId="164" fontId="5" fillId="4" borderId="12" xfId="0" applyNumberFormat="1" applyFont="1" applyFill="1" applyBorder="1" applyAlignment="1" applyProtection="1">
      <alignment horizontal="center" vertical="center" wrapText="1"/>
      <protection/>
    </xf>
    <xf numFmtId="164" fontId="16" fillId="4" borderId="12" xfId="0" applyNumberFormat="1" applyFont="1" applyFill="1" applyBorder="1" applyAlignment="1" applyProtection="1">
      <alignment horizontal="center" vertical="center" wrapText="1"/>
      <protection/>
    </xf>
    <xf numFmtId="164" fontId="58" fillId="4" borderId="20" xfId="0" applyNumberFormat="1" applyFont="1" applyFill="1" applyBorder="1" applyAlignment="1" applyProtection="1">
      <alignment horizontal="center" vertical="center" textRotation="90" wrapText="1"/>
      <protection/>
    </xf>
    <xf numFmtId="164" fontId="5" fillId="4" borderId="5" xfId="0" applyNumberFormat="1" applyFont="1" applyFill="1" applyBorder="1" applyAlignment="1" applyProtection="1">
      <alignment horizontal="center" vertical="center" wrapText="1"/>
      <protection/>
    </xf>
    <xf numFmtId="164" fontId="5" fillId="4" borderId="20" xfId="0" applyNumberFormat="1" applyFont="1" applyFill="1" applyBorder="1" applyAlignment="1" applyProtection="1">
      <alignment horizontal="center" vertical="center" wrapText="1"/>
      <protection/>
    </xf>
    <xf numFmtId="164" fontId="5" fillId="4" borderId="10" xfId="0" applyNumberFormat="1" applyFont="1" applyFill="1" applyBorder="1" applyAlignment="1" applyProtection="1">
      <alignment horizontal="center" vertical="center" wrapText="1"/>
      <protection/>
    </xf>
    <xf numFmtId="166" fontId="5" fillId="4" borderId="5" xfId="0" applyNumberFormat="1" applyFont="1" applyFill="1" applyBorder="1" applyAlignment="1" applyProtection="1">
      <alignment horizontal="center" vertical="center" wrapText="1"/>
      <protection/>
    </xf>
    <xf numFmtId="166" fontId="5" fillId="4" borderId="12" xfId="0" applyNumberFormat="1" applyFont="1" applyFill="1" applyBorder="1" applyAlignment="1" applyProtection="1">
      <alignment horizontal="center" vertical="center" wrapText="1"/>
      <protection/>
    </xf>
    <xf numFmtId="164" fontId="0" fillId="0" borderId="0" xfId="0" applyNumberFormat="1" applyFont="1" applyAlignment="1" applyProtection="1">
      <alignment horizontal="center" vertical="center" wrapText="1"/>
      <protection/>
    </xf>
    <xf numFmtId="164" fontId="3" fillId="0" borderId="21" xfId="0" applyNumberFormat="1" applyFont="1" applyFill="1" applyBorder="1" applyAlignment="1" applyProtection="1">
      <alignment horizontal="center" vertical="center" shrinkToFit="1"/>
      <protection locked="0"/>
    </xf>
    <xf numFmtId="174" fontId="55" fillId="0" borderId="4" xfId="0" applyNumberFormat="1" applyFont="1" applyFill="1" applyBorder="1" applyAlignment="1" applyProtection="1">
      <alignment horizontal="center" vertical="center" shrinkToFit="1"/>
      <protection/>
    </xf>
    <xf numFmtId="174" fontId="33" fillId="0" borderId="4" xfId="0" applyNumberFormat="1" applyFont="1" applyFill="1" applyBorder="1" applyAlignment="1" applyProtection="1">
      <alignment horizontal="center" vertical="center" shrinkToFit="1"/>
      <protection/>
    </xf>
    <xf numFmtId="164" fontId="17" fillId="0" borderId="1" xfId="0" applyNumberFormat="1" applyFont="1" applyFill="1" applyBorder="1" applyAlignment="1" applyProtection="1">
      <alignment horizontal="left" vertical="center" shrinkToFit="1"/>
      <protection/>
    </xf>
    <xf numFmtId="164" fontId="17" fillId="0" borderId="21" xfId="0" applyNumberFormat="1" applyFont="1" applyFill="1" applyBorder="1" applyAlignment="1" applyProtection="1">
      <alignment horizontal="left" vertical="center" shrinkToFit="1"/>
      <protection/>
    </xf>
    <xf numFmtId="164" fontId="17" fillId="0" borderId="21" xfId="0" applyNumberFormat="1" applyFont="1" applyFill="1" applyBorder="1" applyAlignment="1" applyProtection="1">
      <alignment horizontal="center" vertical="center" shrinkToFit="1"/>
      <protection/>
    </xf>
    <xf numFmtId="164" fontId="17" fillId="0" borderId="21" xfId="0" applyNumberFormat="1" applyFont="1" applyFill="1" applyBorder="1" applyAlignment="1" applyProtection="1">
      <alignment vertical="center" shrinkToFit="1"/>
      <protection/>
    </xf>
    <xf numFmtId="180" fontId="17" fillId="0" borderId="21" xfId="0" applyNumberFormat="1" applyFont="1" applyFill="1" applyBorder="1" applyAlignment="1" applyProtection="1">
      <alignment horizontal="center" vertical="center" shrinkToFit="1"/>
      <protection/>
    </xf>
    <xf numFmtId="164" fontId="0" fillId="0" borderId="0" xfId="0" applyNumberFormat="1" applyAlignment="1" applyProtection="1">
      <alignment horizontal="center" vertical="center" shrinkToFit="1"/>
      <protection/>
    </xf>
    <xf numFmtId="164" fontId="0" fillId="0" borderId="17" xfId="0" applyBorder="1" applyAlignment="1" applyProtection="1">
      <alignment horizontal="left" vertical="center"/>
      <protection locked="0"/>
    </xf>
    <xf numFmtId="164" fontId="28" fillId="7" borderId="0" xfId="0" applyFont="1" applyFill="1" applyBorder="1" applyAlignment="1" applyProtection="1">
      <alignment horizontal="center" vertical="center"/>
      <protection/>
    </xf>
    <xf numFmtId="166" fontId="0" fillId="7" borderId="0" xfId="0" applyNumberFormat="1" applyFill="1" applyBorder="1" applyAlignment="1" applyProtection="1">
      <alignment horizontal="center" vertical="center"/>
      <protection/>
    </xf>
    <xf numFmtId="174" fontId="0" fillId="7" borderId="0" xfId="0" applyNumberFormat="1" applyFill="1" applyBorder="1" applyAlignment="1" applyProtection="1">
      <alignment horizontal="center" vertical="center"/>
      <protection/>
    </xf>
    <xf numFmtId="166" fontId="17" fillId="7" borderId="0" xfId="0" applyNumberFormat="1" applyFont="1" applyFill="1" applyBorder="1" applyAlignment="1" applyProtection="1">
      <alignment horizontal="center" vertical="center"/>
      <protection/>
    </xf>
    <xf numFmtId="164" fontId="0" fillId="0" borderId="0" xfId="0" applyBorder="1" applyAlignment="1">
      <alignment/>
    </xf>
    <xf numFmtId="164" fontId="62" fillId="0" borderId="0" xfId="0" applyNumberFormat="1" applyFont="1" applyFill="1" applyBorder="1" applyAlignment="1" applyProtection="1">
      <alignment horizontal="center" vertical="center"/>
      <protection/>
    </xf>
    <xf numFmtId="174" fontId="3" fillId="0" borderId="0" xfId="0" applyNumberFormat="1" applyFont="1" applyFill="1" applyBorder="1" applyAlignment="1" applyProtection="1">
      <alignment horizontal="center" vertical="center"/>
      <protection/>
    </xf>
    <xf numFmtId="164" fontId="63" fillId="0" borderId="0" xfId="0" applyNumberFormat="1" applyFont="1" applyFill="1" applyBorder="1" applyAlignment="1" applyProtection="1">
      <alignment horizontal="center" vertical="center"/>
      <protection/>
    </xf>
    <xf numFmtId="164" fontId="6" fillId="0" borderId="0" xfId="0" applyNumberFormat="1" applyFont="1" applyFill="1" applyBorder="1" applyAlignment="1" applyProtection="1">
      <alignment horizontal="center" vertical="center"/>
      <protection/>
    </xf>
    <xf numFmtId="164" fontId="42" fillId="0" borderId="0" xfId="0" applyNumberFormat="1" applyFont="1" applyFill="1" applyBorder="1" applyAlignment="1" applyProtection="1">
      <alignment horizontal="left" vertical="center"/>
      <protection/>
    </xf>
    <xf numFmtId="174" fontId="42" fillId="0" borderId="0" xfId="0" applyNumberFormat="1" applyFont="1" applyFill="1" applyBorder="1" applyAlignment="1" applyProtection="1">
      <alignment horizontal="center" vertical="center"/>
      <protection/>
    </xf>
    <xf numFmtId="164" fontId="64" fillId="0" borderId="0" xfId="0" applyNumberFormat="1" applyFont="1" applyFill="1" applyBorder="1" applyAlignment="1" applyProtection="1">
      <alignment horizontal="center" vertical="center"/>
      <protection/>
    </xf>
    <xf numFmtId="174" fontId="48" fillId="4" borderId="2" xfId="0" applyNumberFormat="1" applyFont="1" applyFill="1" applyBorder="1" applyAlignment="1" applyProtection="1">
      <alignment horizontal="center" vertical="center" wrapText="1"/>
      <protection/>
    </xf>
    <xf numFmtId="164" fontId="24" fillId="4" borderId="17" xfId="0" applyNumberFormat="1" applyFont="1" applyFill="1" applyBorder="1" applyAlignment="1" applyProtection="1">
      <alignment horizontal="center" vertical="center" wrapText="1"/>
      <protection/>
    </xf>
    <xf numFmtId="174" fontId="65" fillId="4" borderId="17" xfId="0" applyNumberFormat="1" applyFont="1" applyFill="1" applyBorder="1" applyAlignment="1" applyProtection="1">
      <alignment horizontal="center" vertical="center" wrapText="1"/>
      <protection/>
    </xf>
    <xf numFmtId="164" fontId="16" fillId="2" borderId="2" xfId="0" applyNumberFormat="1" applyFont="1" applyFill="1" applyBorder="1" applyAlignment="1" applyProtection="1">
      <alignment horizontal="center" vertical="center" wrapText="1"/>
      <protection/>
    </xf>
    <xf numFmtId="164" fontId="16" fillId="2" borderId="22" xfId="0" applyNumberFormat="1" applyFont="1" applyFill="1" applyBorder="1" applyAlignment="1" applyProtection="1">
      <alignment horizontal="left" vertical="center" wrapText="1"/>
      <protection/>
    </xf>
    <xf numFmtId="164" fontId="16" fillId="2" borderId="23" xfId="0" applyNumberFormat="1" applyFont="1" applyFill="1" applyBorder="1" applyAlignment="1" applyProtection="1">
      <alignment horizontal="left" vertical="center" wrapText="1"/>
      <protection/>
    </xf>
    <xf numFmtId="164" fontId="3" fillId="0" borderId="24" xfId="0" applyNumberFormat="1" applyFont="1" applyFill="1" applyBorder="1" applyAlignment="1" applyProtection="1">
      <alignment horizontal="center" vertical="center" shrinkToFit="1"/>
      <protection hidden="1"/>
    </xf>
    <xf numFmtId="164" fontId="33" fillId="0" borderId="1" xfId="0" applyNumberFormat="1" applyFont="1" applyFill="1" applyBorder="1" applyAlignment="1" applyProtection="1">
      <alignment horizontal="center" vertical="center" shrinkToFit="1"/>
      <protection/>
    </xf>
    <xf numFmtId="175" fontId="63" fillId="0" borderId="21" xfId="0" applyNumberFormat="1" applyFont="1" applyFill="1" applyBorder="1" applyAlignment="1" applyProtection="1">
      <alignment horizontal="center" vertical="center" shrinkToFit="1"/>
      <protection/>
    </xf>
    <xf numFmtId="174" fontId="56" fillId="0" borderId="24" xfId="0" applyNumberFormat="1" applyFont="1" applyFill="1" applyBorder="1" applyAlignment="1" applyProtection="1">
      <alignment horizontal="center" vertical="center" shrinkToFit="1"/>
      <protection locked="0"/>
    </xf>
    <xf numFmtId="174" fontId="0" fillId="0" borderId="25" xfId="0" applyNumberFormat="1" applyFont="1" applyFill="1" applyBorder="1" applyAlignment="1" applyProtection="1">
      <alignment horizontal="center" vertical="center" shrinkToFit="1"/>
      <protection/>
    </xf>
    <xf numFmtId="164" fontId="3" fillId="0" borderId="26" xfId="0" applyNumberFormat="1" applyFont="1" applyFill="1" applyBorder="1" applyAlignment="1" applyProtection="1">
      <alignment horizontal="center" vertical="center" shrinkToFit="1"/>
      <protection hidden="1"/>
    </xf>
    <xf numFmtId="175" fontId="33" fillId="0" borderId="21" xfId="0" applyNumberFormat="1" applyFont="1" applyFill="1" applyBorder="1" applyAlignment="1" applyProtection="1">
      <alignment horizontal="center" vertical="center" shrinkToFit="1"/>
      <protection/>
    </xf>
    <xf numFmtId="174" fontId="56" fillId="0" borderId="26" xfId="0" applyNumberFormat="1" applyFont="1" applyFill="1" applyBorder="1" applyAlignment="1" applyProtection="1">
      <alignment horizontal="center" vertical="center" shrinkToFit="1"/>
      <protection locked="0"/>
    </xf>
    <xf numFmtId="164" fontId="3" fillId="0" borderId="27" xfId="0" applyNumberFormat="1" applyFont="1" applyFill="1" applyBorder="1" applyAlignment="1" applyProtection="1">
      <alignment horizontal="center" vertical="center" shrinkToFit="1"/>
      <protection hidden="1"/>
    </xf>
    <xf numFmtId="174" fontId="56" fillId="0" borderId="27" xfId="0" applyNumberFormat="1" applyFont="1" applyFill="1" applyBorder="1" applyAlignment="1" applyProtection="1">
      <alignment horizontal="center" vertical="center" shrinkToFit="1"/>
      <protection locked="0"/>
    </xf>
    <xf numFmtId="181" fontId="0" fillId="9" borderId="0" xfId="15" applyNumberFormat="1" applyFont="1" applyFill="1" applyBorder="1" applyAlignment="1" applyProtection="1">
      <alignment horizontal="left" vertical="center" shrinkToFit="1"/>
      <protection/>
    </xf>
    <xf numFmtId="164" fontId="5" fillId="9" borderId="0" xfId="0" applyFont="1" applyFill="1" applyBorder="1" applyAlignment="1" applyProtection="1">
      <alignment horizontal="right" vertical="center"/>
      <protection/>
    </xf>
    <xf numFmtId="175" fontId="17" fillId="9" borderId="0" xfId="0" applyNumberFormat="1" applyFont="1" applyFill="1" applyBorder="1" applyAlignment="1" applyProtection="1">
      <alignment horizontal="center" vertical="center" shrinkToFit="1"/>
      <protection/>
    </xf>
    <xf numFmtId="176" fontId="17" fillId="9"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166" fontId="42" fillId="7" borderId="0" xfId="0" applyNumberFormat="1" applyFont="1" applyFill="1" applyBorder="1" applyAlignment="1" applyProtection="1">
      <alignment horizontal="center" vertical="center"/>
      <protection/>
    </xf>
    <xf numFmtId="166" fontId="0" fillId="7" borderId="0" xfId="0" applyNumberFormat="1" applyFill="1" applyBorder="1" applyAlignment="1" applyProtection="1">
      <alignment horizontal="left" vertical="center"/>
      <protection/>
    </xf>
    <xf numFmtId="166" fontId="55" fillId="7" borderId="0" xfId="0" applyNumberFormat="1" applyFont="1" applyFill="1" applyBorder="1" applyAlignment="1" applyProtection="1">
      <alignment horizontal="center" vertical="center"/>
      <protection/>
    </xf>
    <xf numFmtId="166" fontId="64" fillId="7" borderId="0" xfId="0" applyNumberFormat="1" applyFont="1" applyFill="1" applyBorder="1" applyAlignment="1" applyProtection="1">
      <alignment horizontal="center" vertical="center"/>
      <protection/>
    </xf>
    <xf numFmtId="166" fontId="2" fillId="7" borderId="0" xfId="0" applyNumberFormat="1" applyFont="1" applyFill="1" applyBorder="1" applyAlignment="1" applyProtection="1">
      <alignment horizontal="center" vertical="center"/>
      <protection/>
    </xf>
    <xf numFmtId="164" fontId="0" fillId="7" borderId="0" xfId="0" applyFill="1" applyBorder="1" applyAlignment="1" applyProtection="1">
      <alignment horizontal="center" vertical="center"/>
      <protection/>
    </xf>
    <xf numFmtId="164" fontId="4" fillId="0" borderId="0" xfId="0" applyNumberFormat="1" applyFont="1" applyFill="1" applyBorder="1" applyAlignment="1" applyProtection="1">
      <alignment horizontal="center" vertical="center"/>
      <protection/>
    </xf>
    <xf numFmtId="164" fontId="66" fillId="0" borderId="0" xfId="0" applyNumberFormat="1" applyFont="1" applyFill="1" applyBorder="1" applyAlignment="1" applyProtection="1">
      <alignment horizontal="left" vertical="center"/>
      <protection/>
    </xf>
    <xf numFmtId="164" fontId="67" fillId="0" borderId="0" xfId="0" applyNumberFormat="1" applyFont="1" applyFill="1" applyBorder="1" applyAlignment="1" applyProtection="1">
      <alignment horizontal="center" vertical="center"/>
      <protection/>
    </xf>
    <xf numFmtId="164" fontId="68" fillId="0" borderId="0" xfId="0" applyNumberFormat="1" applyFont="1" applyFill="1" applyBorder="1" applyAlignment="1" applyProtection="1">
      <alignment horizontal="left" vertical="center"/>
      <protection/>
    </xf>
    <xf numFmtId="164" fontId="67" fillId="0" borderId="0" xfId="0" applyNumberFormat="1" applyFont="1" applyFill="1" applyBorder="1" applyAlignment="1" applyProtection="1">
      <alignment horizontal="left" vertical="center"/>
      <protection/>
    </xf>
    <xf numFmtId="164" fontId="69" fillId="0" borderId="0" xfId="0" applyNumberFormat="1" applyFont="1" applyFill="1" applyBorder="1" applyAlignment="1" applyProtection="1">
      <alignment horizontal="left" vertical="center"/>
      <protection/>
    </xf>
    <xf numFmtId="164" fontId="4" fillId="2" borderId="5" xfId="0" applyNumberFormat="1" applyFont="1" applyFill="1" applyBorder="1" applyAlignment="1" applyProtection="1">
      <alignment horizontal="center" vertical="center" wrapText="1"/>
      <protection/>
    </xf>
    <xf numFmtId="164" fontId="38" fillId="4" borderId="20" xfId="0" applyNumberFormat="1" applyFont="1" applyFill="1" applyBorder="1" applyAlignment="1" applyProtection="1">
      <alignment horizontal="center" vertical="center" wrapText="1"/>
      <protection/>
    </xf>
    <xf numFmtId="182" fontId="15" fillId="4" borderId="18" xfId="0" applyNumberFormat="1" applyFont="1" applyFill="1" applyBorder="1" applyAlignment="1" applyProtection="1">
      <alignment horizontal="center" vertical="center" wrapText="1"/>
      <protection/>
    </xf>
    <xf numFmtId="183" fontId="15" fillId="4" borderId="6" xfId="0" applyNumberFormat="1" applyFont="1" applyFill="1" applyBorder="1" applyAlignment="1" applyProtection="1">
      <alignment horizontal="center" vertical="center" wrapText="1"/>
      <protection/>
    </xf>
    <xf numFmtId="164" fontId="15" fillId="4" borderId="18" xfId="0" applyNumberFormat="1" applyFont="1" applyFill="1" applyBorder="1" applyAlignment="1" applyProtection="1">
      <alignment horizontal="center" vertical="center" wrapText="1"/>
      <protection/>
    </xf>
    <xf numFmtId="174" fontId="34" fillId="4" borderId="12" xfId="0" applyNumberFormat="1" applyFont="1" applyFill="1" applyBorder="1" applyAlignment="1" applyProtection="1">
      <alignment horizontal="center" vertical="center" wrapText="1"/>
      <protection/>
    </xf>
    <xf numFmtId="174" fontId="8" fillId="4" borderId="28" xfId="0" applyNumberFormat="1" applyFont="1" applyFill="1" applyBorder="1" applyAlignment="1" applyProtection="1">
      <alignment horizontal="center" vertical="center" wrapText="1"/>
      <protection/>
    </xf>
    <xf numFmtId="174" fontId="8" fillId="4" borderId="29" xfId="0" applyNumberFormat="1" applyFont="1" applyFill="1" applyBorder="1" applyAlignment="1" applyProtection="1">
      <alignment horizontal="center" vertical="center" wrapText="1"/>
      <protection/>
    </xf>
    <xf numFmtId="164" fontId="8" fillId="4" borderId="29" xfId="0" applyNumberFormat="1" applyFont="1" applyFill="1" applyBorder="1" applyAlignment="1" applyProtection="1">
      <alignment horizontal="center" vertical="center" wrapText="1"/>
      <protection/>
    </xf>
    <xf numFmtId="164" fontId="8" fillId="4" borderId="29" xfId="0" applyNumberFormat="1" applyFont="1" applyFill="1" applyBorder="1" applyAlignment="1" applyProtection="1">
      <alignment horizontal="center" vertical="top" wrapText="1"/>
      <protection/>
    </xf>
    <xf numFmtId="184" fontId="8" fillId="4" borderId="29" xfId="0" applyNumberFormat="1" applyFont="1" applyFill="1" applyBorder="1" applyAlignment="1" applyProtection="1">
      <alignment horizontal="center" vertical="top" wrapText="1" shrinkToFit="1"/>
      <protection/>
    </xf>
    <xf numFmtId="164" fontId="34" fillId="4" borderId="8" xfId="0" applyNumberFormat="1" applyFont="1" applyFill="1" applyBorder="1" applyAlignment="1" applyProtection="1">
      <alignment horizontal="center" vertical="center" textRotation="90" wrapText="1"/>
      <protection/>
    </xf>
    <xf numFmtId="183" fontId="5" fillId="2" borderId="30" xfId="0" applyNumberFormat="1" applyFont="1" applyFill="1" applyBorder="1" applyAlignment="1" applyProtection="1">
      <alignment horizontal="center" vertical="center" wrapText="1"/>
      <protection/>
    </xf>
    <xf numFmtId="164" fontId="70" fillId="4" borderId="29" xfId="0" applyNumberFormat="1" applyFont="1" applyFill="1" applyBorder="1" applyAlignment="1" applyProtection="1">
      <alignment horizontal="center" vertical="center" textRotation="90" wrapText="1"/>
      <protection/>
    </xf>
    <xf numFmtId="164" fontId="5" fillId="2" borderId="31" xfId="0" applyNumberFormat="1" applyFont="1" applyFill="1" applyBorder="1" applyAlignment="1" applyProtection="1">
      <alignment horizontal="center" vertical="center" wrapText="1"/>
      <protection locked="0"/>
    </xf>
    <xf numFmtId="164" fontId="8" fillId="4" borderId="29" xfId="0" applyNumberFormat="1" applyFont="1" applyFill="1" applyBorder="1" applyAlignment="1" applyProtection="1">
      <alignment horizontal="center" vertical="center" textRotation="90" wrapText="1"/>
      <protection/>
    </xf>
    <xf numFmtId="164" fontId="5" fillId="4" borderId="29" xfId="0" applyNumberFormat="1" applyFont="1" applyFill="1" applyBorder="1" applyAlignment="1" applyProtection="1">
      <alignment horizontal="center" vertical="center" textRotation="90" wrapText="1"/>
      <protection locked="0"/>
    </xf>
    <xf numFmtId="164" fontId="5" fillId="4" borderId="29" xfId="0" applyNumberFormat="1" applyFont="1" applyFill="1" applyBorder="1" applyAlignment="1" applyProtection="1">
      <alignment horizontal="center" vertical="center" textRotation="90" wrapText="1"/>
      <protection/>
    </xf>
    <xf numFmtId="164" fontId="71" fillId="4" borderId="29" xfId="0" applyNumberFormat="1" applyFont="1" applyFill="1" applyBorder="1" applyAlignment="1" applyProtection="1">
      <alignment horizontal="center" vertical="center" textRotation="90" wrapText="1"/>
      <protection/>
    </xf>
    <xf numFmtId="164" fontId="4" fillId="7" borderId="0" xfId="0" applyNumberFormat="1" applyFont="1" applyFill="1" applyBorder="1" applyAlignment="1" applyProtection="1">
      <alignment horizontal="center" vertical="center" wrapText="1"/>
      <protection/>
    </xf>
    <xf numFmtId="164" fontId="25" fillId="0" borderId="21" xfId="0" applyFont="1" applyBorder="1" applyAlignment="1" applyProtection="1">
      <alignment horizontal="center" vertical="center" shrinkToFit="1"/>
      <protection locked="0"/>
    </xf>
    <xf numFmtId="164" fontId="17" fillId="0" borderId="32" xfId="0" applyNumberFormat="1" applyFont="1" applyFill="1" applyBorder="1" applyAlignment="1" applyProtection="1">
      <alignment horizontal="center" vertical="center" shrinkToFit="1"/>
      <protection/>
    </xf>
    <xf numFmtId="174" fontId="17" fillId="0" borderId="33" xfId="0" applyNumberFormat="1" applyFont="1" applyFill="1" applyBorder="1" applyAlignment="1" applyProtection="1">
      <alignment horizontal="center" vertical="center" shrinkToFit="1"/>
      <protection/>
    </xf>
    <xf numFmtId="164" fontId="17" fillId="0" borderId="4" xfId="0" applyNumberFormat="1" applyFont="1" applyFill="1" applyBorder="1" applyAlignment="1" applyProtection="1">
      <alignment horizontal="center" vertical="center" shrinkToFit="1"/>
      <protection/>
    </xf>
    <xf numFmtId="164" fontId="64" fillId="0" borderId="32" xfId="0" applyNumberFormat="1" applyFont="1" applyFill="1" applyBorder="1" applyAlignment="1" applyProtection="1">
      <alignment horizontal="center" vertical="center" shrinkToFit="1"/>
      <protection/>
    </xf>
    <xf numFmtId="167" fontId="0" fillId="0" borderId="33" xfId="0" applyNumberFormat="1" applyBorder="1" applyAlignment="1" applyProtection="1">
      <alignment horizontal="center" vertical="center" shrinkToFit="1"/>
      <protection locked="0"/>
    </xf>
    <xf numFmtId="164" fontId="30" fillId="0" borderId="4" xfId="0" applyNumberFormat="1" applyFont="1" applyFill="1" applyBorder="1" applyAlignment="1" applyProtection="1">
      <alignment horizontal="center" vertical="center" shrinkToFit="1"/>
      <protection/>
    </xf>
    <xf numFmtId="164" fontId="55" fillId="0" borderId="4" xfId="0" applyFont="1" applyBorder="1" applyAlignment="1" applyProtection="1">
      <alignment horizontal="center" vertical="center" shrinkToFit="1"/>
      <protection locked="0"/>
    </xf>
    <xf numFmtId="164" fontId="72" fillId="0" borderId="4" xfId="0" applyFont="1" applyBorder="1" applyAlignment="1" applyProtection="1">
      <alignment horizontal="center" vertical="center" shrinkToFit="1"/>
      <protection locked="0"/>
    </xf>
    <xf numFmtId="164" fontId="55" fillId="0" borderId="4" xfId="0" applyNumberFormat="1" applyFont="1" applyFill="1" applyBorder="1" applyAlignment="1" applyProtection="1">
      <alignment horizontal="center" vertical="center" shrinkToFit="1"/>
      <protection locked="0"/>
    </xf>
    <xf numFmtId="185" fontId="73" fillId="0" borderId="4" xfId="0" applyNumberFormat="1" applyFont="1" applyBorder="1" applyAlignment="1" applyProtection="1">
      <alignment horizontal="center" vertical="center" shrinkToFit="1"/>
      <protection/>
    </xf>
    <xf numFmtId="164" fontId="33" fillId="0" borderId="32" xfId="0" applyNumberFormat="1" applyFont="1" applyFill="1" applyBorder="1" applyAlignment="1" applyProtection="1">
      <alignment horizontal="center" vertical="center" shrinkToFit="1"/>
      <protection/>
    </xf>
    <xf numFmtId="186" fontId="0" fillId="7" borderId="0" xfId="0" applyNumberFormat="1" applyFill="1" applyBorder="1" applyAlignment="1" applyProtection="1">
      <alignment horizontal="center" vertical="center" shrinkToFit="1"/>
      <protection/>
    </xf>
    <xf numFmtId="164" fontId="0" fillId="7" borderId="0" xfId="0" applyFill="1" applyBorder="1" applyAlignment="1" applyProtection="1">
      <alignment horizontal="center" vertical="center" shrinkToFit="1"/>
      <protection/>
    </xf>
    <xf numFmtId="167" fontId="0" fillId="0" borderId="33" xfId="0" applyNumberFormat="1" applyFill="1" applyBorder="1" applyAlignment="1" applyProtection="1">
      <alignment horizontal="center" vertical="center" shrinkToFit="1"/>
      <protection locked="0"/>
    </xf>
    <xf numFmtId="164" fontId="29" fillId="0" borderId="4" xfId="0" applyNumberFormat="1" applyFont="1" applyFill="1" applyBorder="1" applyAlignment="1" applyProtection="1">
      <alignment horizontal="center" vertical="center" shrinkToFit="1"/>
      <protection locked="0"/>
    </xf>
    <xf numFmtId="181" fontId="17" fillId="9" borderId="0" xfId="15" applyNumberFormat="1" applyFont="1" applyFill="1" applyBorder="1" applyAlignment="1" applyProtection="1">
      <alignment horizontal="center" vertical="center" shrinkToFit="1"/>
      <protection/>
    </xf>
    <xf numFmtId="166" fontId="8" fillId="0" borderId="0" xfId="0" applyNumberFormat="1" applyFont="1" applyFill="1" applyBorder="1" applyAlignment="1" applyProtection="1">
      <alignment horizontal="center" vertical="center"/>
      <protection/>
    </xf>
    <xf numFmtId="167" fontId="70" fillId="0" borderId="0" xfId="0" applyNumberFormat="1" applyFont="1" applyFill="1" applyBorder="1" applyAlignment="1" applyProtection="1">
      <alignment horizontal="center" vertical="center"/>
      <protection/>
    </xf>
    <xf numFmtId="167" fontId="48" fillId="9" borderId="0" xfId="0" applyNumberFormat="1" applyFont="1" applyFill="1" applyBorder="1" applyAlignment="1" applyProtection="1">
      <alignment horizontal="center" vertical="center"/>
      <protection/>
    </xf>
    <xf numFmtId="167" fontId="0" fillId="0" borderId="0" xfId="0" applyNumberFormat="1" applyFont="1" applyFill="1" applyBorder="1" applyAlignment="1" applyProtection="1">
      <alignment horizontal="center" vertical="center"/>
      <protection/>
    </xf>
    <xf numFmtId="166" fontId="0" fillId="7" borderId="0" xfId="0" applyNumberFormat="1" applyFont="1" applyFill="1" applyBorder="1" applyAlignment="1" applyProtection="1">
      <alignment horizontal="center" vertical="center"/>
      <protection/>
    </xf>
    <xf numFmtId="164" fontId="55" fillId="9" borderId="0" xfId="0" applyNumberFormat="1" applyFont="1" applyFill="1" applyBorder="1" applyAlignment="1" applyProtection="1">
      <alignment horizontal="center" vertical="center" shrinkToFit="1"/>
      <protection/>
    </xf>
    <xf numFmtId="164" fontId="0" fillId="0" borderId="0" xfId="0" applyFont="1" applyFill="1" applyBorder="1" applyAlignment="1" applyProtection="1">
      <alignment horizontal="center" vertical="center"/>
      <protection/>
    </xf>
    <xf numFmtId="164" fontId="17" fillId="0" borderId="0" xfId="0" applyFont="1" applyFill="1" applyBorder="1" applyAlignment="1" applyProtection="1">
      <alignment horizontal="center" vertical="center"/>
      <protection/>
    </xf>
    <xf numFmtId="167" fontId="64" fillId="0" borderId="0" xfId="0" applyNumberFormat="1" applyFont="1" applyFill="1" applyBorder="1" applyAlignment="1" applyProtection="1">
      <alignment horizontal="center" vertical="center"/>
      <protection/>
    </xf>
    <xf numFmtId="181" fontId="33" fillId="0" borderId="0" xfId="0" applyNumberFormat="1" applyFont="1" applyFill="1" applyBorder="1" applyAlignment="1" applyProtection="1">
      <alignment horizontal="center" vertical="center" shrinkToFit="1"/>
      <protection/>
    </xf>
    <xf numFmtId="167" fontId="74" fillId="9" borderId="0" xfId="0" applyNumberFormat="1" applyFont="1" applyFill="1" applyBorder="1" applyAlignment="1" applyProtection="1">
      <alignment horizontal="center" vertical="center"/>
      <protection/>
    </xf>
    <xf numFmtId="164" fontId="55" fillId="0" borderId="0" xfId="0" applyFont="1" applyFill="1" applyBorder="1" applyAlignment="1" applyProtection="1">
      <alignment horizontal="center" vertical="center"/>
      <protection/>
    </xf>
    <xf numFmtId="164" fontId="30" fillId="9" borderId="0" xfId="0" applyNumberFormat="1" applyFont="1" applyFill="1" applyBorder="1" applyAlignment="1" applyProtection="1">
      <alignment horizontal="center" vertical="center" shrinkToFit="1"/>
      <protection/>
    </xf>
    <xf numFmtId="167" fontId="48" fillId="0" borderId="0" xfId="0" applyNumberFormat="1" applyFont="1" applyFill="1" applyBorder="1" applyAlignment="1" applyProtection="1">
      <alignment horizontal="center" vertical="center"/>
      <protection/>
    </xf>
    <xf numFmtId="164" fontId="0" fillId="0" borderId="0" xfId="0" applyFill="1" applyAlignment="1" applyProtection="1">
      <alignment horizontal="center" vertical="center"/>
      <protection/>
    </xf>
    <xf numFmtId="166" fontId="30" fillId="0" borderId="0" xfId="0" applyNumberFormat="1" applyFont="1" applyFill="1" applyAlignment="1" applyProtection="1">
      <alignment horizontal="right" vertical="center"/>
      <protection/>
    </xf>
    <xf numFmtId="164" fontId="17" fillId="0" borderId="0" xfId="0" applyFont="1" applyFill="1" applyAlignment="1" applyProtection="1">
      <alignment horizontal="center" vertical="center"/>
      <protection/>
    </xf>
    <xf numFmtId="166" fontId="17" fillId="0" borderId="0" xfId="0" applyNumberFormat="1" applyFont="1" applyFill="1" applyAlignment="1" applyProtection="1">
      <alignment horizontal="left" vertical="center"/>
      <protection/>
    </xf>
    <xf numFmtId="181" fontId="64" fillId="0" borderId="0" xfId="15" applyNumberFormat="1" applyFont="1" applyFill="1" applyBorder="1" applyAlignment="1" applyProtection="1">
      <alignment horizontal="center" vertical="center"/>
      <protection/>
    </xf>
    <xf numFmtId="166" fontId="17" fillId="0" borderId="0" xfId="0" applyNumberFormat="1" applyFont="1" applyFill="1" applyAlignment="1" applyProtection="1">
      <alignment horizontal="center" vertical="center"/>
      <protection/>
    </xf>
    <xf numFmtId="181" fontId="17" fillId="0" borderId="0" xfId="15" applyNumberFormat="1" applyFont="1" applyFill="1" applyBorder="1" applyAlignment="1" applyProtection="1">
      <alignment horizontal="center" vertical="center"/>
      <protection/>
    </xf>
    <xf numFmtId="164" fontId="30" fillId="0" borderId="0" xfId="0" applyNumberFormat="1" applyFont="1" applyFill="1" applyBorder="1" applyAlignment="1" applyProtection="1">
      <alignment horizontal="center" vertical="center"/>
      <protection/>
    </xf>
    <xf numFmtId="164" fontId="34" fillId="0" borderId="0" xfId="0" applyNumberFormat="1" applyFont="1" applyFill="1" applyBorder="1" applyAlignment="1" applyProtection="1">
      <alignment horizontal="left" vertical="center"/>
      <protection/>
    </xf>
    <xf numFmtId="174" fontId="34" fillId="0" borderId="0" xfId="0" applyNumberFormat="1" applyFont="1" applyFill="1" applyBorder="1" applyAlignment="1" applyProtection="1">
      <alignment vertical="center"/>
      <protection/>
    </xf>
    <xf numFmtId="164" fontId="29" fillId="2" borderId="29" xfId="0" applyNumberFormat="1" applyFont="1" applyFill="1" applyBorder="1" applyAlignment="1" applyProtection="1">
      <alignment horizontal="center" vertical="center" wrapText="1"/>
      <protection/>
    </xf>
    <xf numFmtId="167" fontId="64" fillId="0" borderId="29" xfId="0" applyNumberFormat="1" applyFont="1" applyFill="1" applyBorder="1" applyAlignment="1" applyProtection="1">
      <alignment horizontal="center" vertical="center"/>
      <protection locked="0"/>
    </xf>
    <xf numFmtId="187" fontId="64" fillId="2" borderId="0" xfId="0" applyNumberFormat="1" applyFont="1" applyFill="1" applyBorder="1" applyAlignment="1" applyProtection="1">
      <alignment horizontal="center" vertical="center"/>
      <protection hidden="1"/>
    </xf>
    <xf numFmtId="187" fontId="75" fillId="0" borderId="0" xfId="0" applyNumberFormat="1" applyFont="1" applyFill="1" applyBorder="1" applyAlignment="1" applyProtection="1">
      <alignment horizontal="left" vertical="center"/>
      <protection hidden="1"/>
    </xf>
    <xf numFmtId="187" fontId="69" fillId="0" borderId="0" xfId="0" applyNumberFormat="1" applyFont="1" applyFill="1" applyBorder="1" applyAlignment="1" applyProtection="1">
      <alignment horizontal="left" vertical="center"/>
      <protection hidden="1"/>
    </xf>
    <xf numFmtId="164" fontId="32" fillId="4" borderId="5" xfId="0" applyNumberFormat="1" applyFont="1" applyFill="1" applyBorder="1" applyAlignment="1" applyProtection="1">
      <alignment horizontal="center" vertical="center" wrapText="1"/>
      <protection/>
    </xf>
    <xf numFmtId="164" fontId="34" fillId="4" borderId="20" xfId="0" applyNumberFormat="1" applyFont="1" applyFill="1" applyBorder="1" applyAlignment="1" applyProtection="1">
      <alignment horizontal="center" vertical="center"/>
      <protection/>
    </xf>
    <xf numFmtId="166" fontId="24" fillId="4" borderId="20" xfId="0" applyNumberFormat="1" applyFont="1" applyFill="1" applyBorder="1" applyAlignment="1" applyProtection="1">
      <alignment horizontal="center" vertical="center"/>
      <protection/>
    </xf>
    <xf numFmtId="164" fontId="29" fillId="4" borderId="20" xfId="0" applyNumberFormat="1" applyFont="1" applyFill="1" applyBorder="1" applyAlignment="1" applyProtection="1">
      <alignment horizontal="center" vertical="center" wrapText="1"/>
      <protection/>
    </xf>
    <xf numFmtId="164" fontId="34" fillId="4" borderId="20" xfId="0" applyNumberFormat="1" applyFont="1" applyFill="1" applyBorder="1" applyAlignment="1" applyProtection="1">
      <alignment horizontal="center" vertical="center" wrapText="1"/>
      <protection/>
    </xf>
    <xf numFmtId="164" fontId="65" fillId="4" borderId="20" xfId="0" applyNumberFormat="1" applyFont="1" applyFill="1" applyBorder="1" applyAlignment="1" applyProtection="1">
      <alignment horizontal="center" vertical="center" wrapText="1"/>
      <protection/>
    </xf>
    <xf numFmtId="164" fontId="16" fillId="10" borderId="11" xfId="0" applyNumberFormat="1" applyFont="1" applyFill="1" applyBorder="1" applyAlignment="1" applyProtection="1">
      <alignment horizontal="center" vertical="center" wrapText="1"/>
      <protection/>
    </xf>
    <xf numFmtId="164" fontId="30" fillId="4" borderId="4" xfId="0" applyNumberFormat="1" applyFont="1" applyFill="1" applyBorder="1" applyAlignment="1" applyProtection="1">
      <alignment horizontal="center" vertical="center" shrinkToFit="1"/>
      <protection/>
    </xf>
    <xf numFmtId="164" fontId="76" fillId="4" borderId="4" xfId="0" applyNumberFormat="1" applyFont="1" applyFill="1" applyBorder="1" applyAlignment="1" applyProtection="1">
      <alignment horizontal="center" vertical="center" shrinkToFit="1"/>
      <protection/>
    </xf>
    <xf numFmtId="181" fontId="63" fillId="0" borderId="4" xfId="15" applyNumberFormat="1" applyFont="1" applyBorder="1" applyAlignment="1" applyProtection="1">
      <alignment horizontal="center" vertical="center" shrinkToFit="1"/>
      <protection/>
    </xf>
    <xf numFmtId="181" fontId="30" fillId="0" borderId="4" xfId="15" applyNumberFormat="1" applyFont="1" applyBorder="1" applyAlignment="1" applyProtection="1">
      <alignment horizontal="left" vertical="center" shrinkToFit="1"/>
      <protection/>
    </xf>
    <xf numFmtId="174" fontId="76" fillId="0" borderId="4" xfId="0" applyNumberFormat="1" applyFont="1" applyFill="1" applyBorder="1" applyAlignment="1" applyProtection="1">
      <alignment horizontal="center" vertical="center" shrinkToFit="1"/>
      <protection/>
    </xf>
    <xf numFmtId="174" fontId="76" fillId="0" borderId="17" xfId="0" applyNumberFormat="1" applyFont="1" applyFill="1" applyBorder="1" applyAlignment="1" applyProtection="1">
      <alignment horizontal="center" vertical="center" shrinkToFit="1"/>
      <protection/>
    </xf>
    <xf numFmtId="167" fontId="63" fillId="0" borderId="4" xfId="15" applyNumberFormat="1" applyFont="1" applyBorder="1" applyAlignment="1" applyProtection="1">
      <alignment horizontal="center" vertical="center" shrinkToFit="1"/>
      <protection/>
    </xf>
    <xf numFmtId="167" fontId="63" fillId="0" borderId="4" xfId="15" applyNumberFormat="1" applyFont="1" applyBorder="1" applyAlignment="1" applyProtection="1">
      <alignment horizontal="center" vertical="center" shrinkToFit="1"/>
      <protection locked="0"/>
    </xf>
    <xf numFmtId="188" fontId="76" fillId="4" borderId="4" xfId="0" applyNumberFormat="1" applyFont="1" applyFill="1" applyBorder="1" applyAlignment="1" applyProtection="1">
      <alignment horizontal="center" vertical="center" shrinkToFit="1"/>
      <protection/>
    </xf>
    <xf numFmtId="188" fontId="30" fillId="4" borderId="4" xfId="0" applyNumberFormat="1" applyFont="1" applyFill="1" applyBorder="1" applyAlignment="1" applyProtection="1">
      <alignment horizontal="center" vertical="center" shrinkToFit="1"/>
      <protection/>
    </xf>
    <xf numFmtId="164" fontId="56" fillId="7" borderId="0" xfId="0" applyNumberFormat="1" applyFont="1" applyFill="1" applyBorder="1" applyAlignment="1" applyProtection="1">
      <alignment horizontal="center" vertical="center" shrinkToFit="1"/>
      <protection/>
    </xf>
    <xf numFmtId="164" fontId="0" fillId="0" borderId="0" xfId="0" applyFill="1" applyBorder="1" applyAlignment="1" applyProtection="1">
      <alignment horizontal="center" vertical="center"/>
      <protection/>
    </xf>
    <xf numFmtId="166" fontId="33" fillId="0" borderId="0" xfId="0" applyNumberFormat="1" applyFont="1" applyFill="1" applyBorder="1" applyAlignment="1" applyProtection="1">
      <alignment horizontal="right" vertical="center"/>
      <protection/>
    </xf>
    <xf numFmtId="166" fontId="0" fillId="0" borderId="0" xfId="0" applyNumberFormat="1" applyFont="1" applyFill="1" applyBorder="1" applyAlignment="1" applyProtection="1">
      <alignment horizontal="left" vertical="center"/>
      <protection/>
    </xf>
    <xf numFmtId="166" fontId="17" fillId="0" borderId="0" xfId="0" applyNumberFormat="1" applyFont="1" applyFill="1" applyBorder="1" applyAlignment="1" applyProtection="1">
      <alignment vertical="center"/>
      <protection/>
    </xf>
    <xf numFmtId="166" fontId="30" fillId="0" borderId="0" xfId="0" applyNumberFormat="1" applyFont="1" applyFill="1" applyBorder="1" applyAlignment="1" applyProtection="1">
      <alignment horizontal="left" vertical="center"/>
      <protection/>
    </xf>
    <xf numFmtId="181" fontId="30" fillId="0" borderId="0" xfId="15" applyNumberFormat="1" applyFont="1" applyFill="1" applyBorder="1" applyAlignment="1" applyProtection="1">
      <alignment horizontal="center" vertical="center"/>
      <protection/>
    </xf>
    <xf numFmtId="166" fontId="30" fillId="0" borderId="0" xfId="0" applyNumberFormat="1" applyFont="1" applyFill="1" applyBorder="1" applyAlignment="1" applyProtection="1">
      <alignment horizontal="center" vertical="center"/>
      <protection/>
    </xf>
    <xf numFmtId="164" fontId="0"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164" fontId="16" fillId="4" borderId="0" xfId="0" applyNumberFormat="1" applyFont="1" applyFill="1" applyBorder="1" applyAlignment="1" applyProtection="1">
      <alignment horizontal="center" vertical="center" wrapText="1"/>
      <protection/>
    </xf>
    <xf numFmtId="164" fontId="16" fillId="4" borderId="34" xfId="0" applyNumberFormat="1" applyFont="1" applyFill="1" applyBorder="1" applyAlignment="1" applyProtection="1">
      <alignment horizontal="center" vertical="center" wrapText="1"/>
      <protection/>
    </xf>
    <xf numFmtId="164" fontId="34" fillId="4" borderId="35" xfId="0" applyNumberFormat="1" applyFont="1" applyFill="1" applyBorder="1" applyAlignment="1" applyProtection="1">
      <alignment horizontal="center" vertical="center"/>
      <protection/>
    </xf>
    <xf numFmtId="166" fontId="24" fillId="4" borderId="35" xfId="0" applyNumberFormat="1" applyFont="1" applyFill="1" applyBorder="1" applyAlignment="1" applyProtection="1">
      <alignment horizontal="center" vertical="center"/>
      <protection/>
    </xf>
    <xf numFmtId="166" fontId="34" fillId="4" borderId="35" xfId="0" applyNumberFormat="1" applyFont="1" applyFill="1" applyBorder="1" applyAlignment="1" applyProtection="1">
      <alignment horizontal="center" vertical="center"/>
      <protection/>
    </xf>
    <xf numFmtId="164" fontId="29" fillId="4" borderId="35" xfId="0" applyNumberFormat="1" applyFont="1" applyFill="1" applyBorder="1" applyAlignment="1" applyProtection="1">
      <alignment vertical="center"/>
      <protection/>
    </xf>
    <xf numFmtId="164" fontId="29" fillId="4" borderId="35" xfId="0" applyNumberFormat="1" applyFont="1" applyFill="1" applyBorder="1" applyAlignment="1" applyProtection="1">
      <alignment vertical="center" textRotation="90"/>
      <protection/>
    </xf>
    <xf numFmtId="164" fontId="5" fillId="4" borderId="35" xfId="0" applyNumberFormat="1" applyFont="1" applyFill="1" applyBorder="1" applyAlignment="1" applyProtection="1">
      <alignment horizontal="center" vertical="center" wrapText="1"/>
      <protection/>
    </xf>
    <xf numFmtId="164" fontId="16" fillId="4" borderId="35" xfId="0" applyNumberFormat="1" applyFont="1" applyFill="1" applyBorder="1" applyAlignment="1" applyProtection="1">
      <alignment horizontal="center" vertical="center" wrapText="1"/>
      <protection/>
    </xf>
    <xf numFmtId="164" fontId="4" fillId="4" borderId="35" xfId="0" applyNumberFormat="1" applyFont="1" applyFill="1" applyBorder="1" applyAlignment="1" applyProtection="1">
      <alignment horizontal="center" vertical="center" wrapText="1"/>
      <protection/>
    </xf>
    <xf numFmtId="164" fontId="0" fillId="4" borderId="35" xfId="0" applyNumberFormat="1" applyFont="1" applyFill="1" applyBorder="1" applyAlignment="1" applyProtection="1">
      <alignment horizontal="center" vertical="center" wrapText="1"/>
      <protection/>
    </xf>
    <xf numFmtId="164" fontId="4" fillId="4" borderId="36" xfId="0" applyNumberFormat="1" applyFont="1" applyFill="1" applyBorder="1" applyAlignment="1" applyProtection="1">
      <alignment horizontal="center" vertical="center" wrapText="1"/>
      <protection/>
    </xf>
    <xf numFmtId="164" fontId="4" fillId="4" borderId="0" xfId="0" applyNumberFormat="1" applyFont="1" applyFill="1" applyBorder="1" applyAlignment="1" applyProtection="1">
      <alignment horizontal="center" vertical="center" wrapText="1"/>
      <protection/>
    </xf>
    <xf numFmtId="164" fontId="30" fillId="4" borderId="37" xfId="0" applyNumberFormat="1" applyFont="1" applyFill="1" applyBorder="1" applyAlignment="1" applyProtection="1">
      <alignment horizontal="center" vertical="center" shrinkToFit="1"/>
      <protection/>
    </xf>
    <xf numFmtId="164" fontId="33" fillId="0" borderId="38" xfId="0" applyNumberFormat="1" applyFont="1" applyFill="1" applyBorder="1" applyAlignment="1" applyProtection="1">
      <alignment horizontal="center" vertical="center" shrinkToFit="1"/>
      <protection/>
    </xf>
    <xf numFmtId="167" fontId="33" fillId="0" borderId="17" xfId="15" applyNumberFormat="1" applyFont="1" applyBorder="1" applyAlignment="1" applyProtection="1">
      <alignment horizontal="center" vertical="center" shrinkToFit="1"/>
      <protection/>
    </xf>
    <xf numFmtId="164" fontId="17" fillId="0" borderId="17" xfId="0" applyNumberFormat="1" applyFont="1" applyFill="1" applyBorder="1" applyAlignment="1" applyProtection="1">
      <alignment vertical="center" shrinkToFit="1"/>
      <protection/>
    </xf>
    <xf numFmtId="179" fontId="30" fillId="7" borderId="17" xfId="0" applyNumberFormat="1" applyFont="1" applyFill="1" applyBorder="1" applyAlignment="1" applyProtection="1">
      <alignment horizontal="left" vertical="center" shrinkToFit="1"/>
      <protection/>
    </xf>
    <xf numFmtId="174" fontId="30" fillId="0" borderId="17" xfId="0" applyNumberFormat="1" applyFont="1" applyFill="1" applyBorder="1" applyAlignment="1" applyProtection="1">
      <alignment horizontal="center" vertical="center" shrinkToFit="1"/>
      <protection/>
    </xf>
    <xf numFmtId="164" fontId="64" fillId="0" borderId="17" xfId="0" applyNumberFormat="1" applyFont="1" applyFill="1" applyBorder="1" applyAlignment="1" applyProtection="1">
      <alignment horizontal="center" vertical="center" shrinkToFit="1"/>
      <protection/>
    </xf>
    <xf numFmtId="167" fontId="30" fillId="0" borderId="17" xfId="15" applyNumberFormat="1" applyFont="1" applyBorder="1" applyAlignment="1" applyProtection="1">
      <alignment horizontal="center" vertical="center" shrinkToFit="1"/>
      <protection/>
    </xf>
    <xf numFmtId="164" fontId="30" fillId="0" borderId="17" xfId="0" applyNumberFormat="1" applyFont="1" applyFill="1" applyBorder="1" applyAlignment="1" applyProtection="1">
      <alignment horizontal="center" vertical="center" shrinkToFit="1"/>
      <protection/>
    </xf>
    <xf numFmtId="179" fontId="55" fillId="7" borderId="17" xfId="0" applyNumberFormat="1" applyFont="1" applyFill="1" applyBorder="1" applyAlignment="1" applyProtection="1">
      <alignment horizontal="center" vertical="center" shrinkToFit="1"/>
      <protection/>
    </xf>
    <xf numFmtId="189" fontId="55" fillId="7" borderId="17" xfId="0" applyNumberFormat="1" applyFont="1" applyFill="1" applyBorder="1" applyAlignment="1" applyProtection="1">
      <alignment horizontal="center" vertical="center" shrinkToFit="1"/>
      <protection/>
    </xf>
    <xf numFmtId="189" fontId="55" fillId="7" borderId="39" xfId="0" applyNumberFormat="1" applyFont="1" applyFill="1" applyBorder="1" applyAlignment="1" applyProtection="1">
      <alignment horizontal="center" vertical="center" shrinkToFit="1"/>
      <protection/>
    </xf>
    <xf numFmtId="164" fontId="44" fillId="4" borderId="0" xfId="0" applyNumberFormat="1" applyFont="1" applyFill="1" applyBorder="1" applyAlignment="1" applyProtection="1">
      <alignment horizontal="center" vertical="center" wrapText="1"/>
      <protection/>
    </xf>
    <xf numFmtId="164" fontId="33" fillId="0" borderId="40" xfId="0" applyNumberFormat="1" applyFont="1" applyFill="1" applyBorder="1" applyAlignment="1" applyProtection="1">
      <alignment horizontal="center" vertical="center" shrinkToFit="1"/>
      <protection/>
    </xf>
    <xf numFmtId="167" fontId="33" fillId="0" borderId="31" xfId="15" applyNumberFormat="1" applyFont="1" applyBorder="1" applyAlignment="1" applyProtection="1">
      <alignment horizontal="center" vertical="center" shrinkToFit="1"/>
      <protection/>
    </xf>
    <xf numFmtId="164" fontId="17" fillId="0" borderId="31" xfId="0" applyNumberFormat="1" applyFont="1" applyFill="1" applyBorder="1" applyAlignment="1" applyProtection="1">
      <alignment vertical="center" shrinkToFit="1"/>
      <protection/>
    </xf>
    <xf numFmtId="179" fontId="30" fillId="7" borderId="31" xfId="0" applyNumberFormat="1" applyFont="1" applyFill="1" applyBorder="1" applyAlignment="1" applyProtection="1">
      <alignment horizontal="left" vertical="center" shrinkToFit="1"/>
      <protection/>
    </xf>
    <xf numFmtId="174" fontId="30" fillId="0" borderId="31" xfId="0" applyNumberFormat="1" applyFont="1" applyFill="1" applyBorder="1" applyAlignment="1" applyProtection="1">
      <alignment horizontal="center" vertical="center" shrinkToFit="1"/>
      <protection/>
    </xf>
    <xf numFmtId="164" fontId="64" fillId="0" borderId="31" xfId="0" applyNumberFormat="1" applyFont="1" applyFill="1" applyBorder="1" applyAlignment="1" applyProtection="1">
      <alignment horizontal="center" vertical="center" shrinkToFit="1"/>
      <protection/>
    </xf>
    <xf numFmtId="167" fontId="30" fillId="0" borderId="31" xfId="15" applyNumberFormat="1" applyFont="1" applyBorder="1" applyAlignment="1" applyProtection="1">
      <alignment horizontal="center" vertical="center" shrinkToFit="1"/>
      <protection/>
    </xf>
    <xf numFmtId="164" fontId="30" fillId="0" borderId="31" xfId="0" applyNumberFormat="1" applyFont="1" applyFill="1" applyBorder="1" applyAlignment="1" applyProtection="1">
      <alignment horizontal="center" vertical="center" shrinkToFit="1"/>
      <protection/>
    </xf>
    <xf numFmtId="164" fontId="0" fillId="0" borderId="0" xfId="0" applyFont="1" applyFill="1" applyBorder="1" applyAlignment="1" applyProtection="1">
      <alignment horizontal="right" vertical="center"/>
      <protection/>
    </xf>
    <xf numFmtId="164" fontId="55" fillId="5" borderId="0" xfId="0" applyNumberFormat="1" applyFont="1" applyFill="1" applyBorder="1" applyAlignment="1" applyProtection="1">
      <alignment horizontal="center" vertical="center"/>
      <protection/>
    </xf>
    <xf numFmtId="164" fontId="0" fillId="0" borderId="0" xfId="0" applyAlignment="1" applyProtection="1">
      <alignment/>
      <protection/>
    </xf>
    <xf numFmtId="164" fontId="0" fillId="0" borderId="0" xfId="0" applyAlignment="1" applyProtection="1">
      <alignment horizontal="center"/>
      <protection/>
    </xf>
    <xf numFmtId="164" fontId="10" fillId="0" borderId="0" xfId="0" applyFont="1" applyAlignment="1" applyProtection="1">
      <alignment horizontal="center"/>
      <protection/>
    </xf>
    <xf numFmtId="164" fontId="81" fillId="4" borderId="22" xfId="0" applyFont="1" applyFill="1" applyBorder="1" applyAlignment="1" applyProtection="1">
      <alignment horizontal="center"/>
      <protection/>
    </xf>
    <xf numFmtId="164" fontId="4" fillId="0" borderId="0" xfId="0" applyFont="1" applyAlignment="1" applyProtection="1">
      <alignment horizontal="center"/>
      <protection/>
    </xf>
    <xf numFmtId="164" fontId="10" fillId="0" borderId="22" xfId="0" applyFont="1" applyBorder="1" applyAlignment="1" applyProtection="1">
      <alignment horizontal="center"/>
      <protection/>
    </xf>
    <xf numFmtId="164" fontId="4" fillId="0" borderId="0" xfId="0" applyFont="1" applyBorder="1" applyAlignment="1" applyProtection="1">
      <alignment horizontal="left"/>
      <protection/>
    </xf>
    <xf numFmtId="164" fontId="24" fillId="2" borderId="0" xfId="0" applyFont="1" applyFill="1" applyBorder="1" applyAlignment="1" applyProtection="1">
      <alignment horizontal="right" vertical="center"/>
      <protection/>
    </xf>
    <xf numFmtId="164" fontId="0" fillId="11" borderId="0" xfId="0" applyFill="1" applyBorder="1" applyAlignment="1" applyProtection="1">
      <alignment horizontal="center"/>
      <protection/>
    </xf>
    <xf numFmtId="164" fontId="0" fillId="5" borderId="17" xfId="0" applyFill="1" applyBorder="1" applyAlignment="1" applyProtection="1">
      <alignment horizontal="center"/>
      <protection/>
    </xf>
    <xf numFmtId="164" fontId="0" fillId="0" borderId="0" xfId="0" applyFill="1" applyBorder="1" applyAlignment="1" applyProtection="1">
      <alignment/>
      <protection/>
    </xf>
    <xf numFmtId="164" fontId="24" fillId="0" borderId="0" xfId="0" applyFont="1" applyFill="1" applyBorder="1" applyAlignment="1" applyProtection="1">
      <alignment horizontal="right" vertical="center"/>
      <protection/>
    </xf>
    <xf numFmtId="164" fontId="0" fillId="0" borderId="0" xfId="0" applyFill="1" applyBorder="1" applyAlignment="1" applyProtection="1">
      <alignment horizontal="center"/>
      <protection/>
    </xf>
    <xf numFmtId="164" fontId="4" fillId="0" borderId="0" xfId="0" applyFont="1" applyFill="1" applyBorder="1" applyAlignment="1" applyProtection="1">
      <alignment/>
      <protection/>
    </xf>
    <xf numFmtId="166" fontId="11" fillId="0" borderId="0" xfId="0" applyNumberFormat="1" applyFont="1" applyBorder="1" applyAlignment="1" applyProtection="1">
      <alignment horizontal="center" vertical="center" wrapText="1"/>
      <protection/>
    </xf>
    <xf numFmtId="164" fontId="0" fillId="0" borderId="22" xfId="0" applyFill="1" applyBorder="1" applyAlignment="1" applyProtection="1">
      <alignment horizontal="left"/>
      <protection/>
    </xf>
    <xf numFmtId="164" fontId="0" fillId="0" borderId="0" xfId="0" applyFill="1" applyBorder="1" applyAlignment="1" applyProtection="1">
      <alignment horizontal="left"/>
      <protection/>
    </xf>
    <xf numFmtId="164" fontId="0" fillId="5" borderId="4" xfId="0" applyFill="1" applyBorder="1" applyAlignment="1" applyProtection="1">
      <alignment horizontal="center"/>
      <protection/>
    </xf>
    <xf numFmtId="176" fontId="0" fillId="5" borderId="17" xfId="0" applyNumberFormat="1" applyFill="1" applyBorder="1" applyAlignment="1" applyProtection="1">
      <alignment horizontal="center"/>
      <protection/>
    </xf>
    <xf numFmtId="167" fontId="35" fillId="0" borderId="17" xfId="0" applyNumberFormat="1" applyFont="1" applyFill="1" applyBorder="1" applyAlignment="1" applyProtection="1">
      <alignment horizontal="center" vertical="center"/>
      <protection/>
    </xf>
    <xf numFmtId="187" fontId="64" fillId="4" borderId="22" xfId="0" applyNumberFormat="1" applyFont="1" applyFill="1" applyBorder="1" applyAlignment="1" applyProtection="1">
      <alignment horizontal="left" vertical="center"/>
      <protection/>
    </xf>
    <xf numFmtId="164" fontId="0" fillId="0" borderId="0" xfId="0" applyAlignment="1" applyProtection="1">
      <alignment/>
      <protection/>
    </xf>
    <xf numFmtId="164" fontId="0" fillId="0" borderId="0" xfId="0" applyFont="1" applyFill="1" applyBorder="1" applyAlignment="1" applyProtection="1">
      <alignment horizontal="center"/>
      <protection/>
    </xf>
    <xf numFmtId="164" fontId="4" fillId="4" borderId="0" xfId="0" applyFont="1" applyFill="1" applyAlignment="1" applyProtection="1">
      <alignment horizontal="center"/>
      <protection/>
    </xf>
    <xf numFmtId="164" fontId="16" fillId="0" borderId="0" xfId="0" applyFont="1" applyFill="1" applyBorder="1" applyAlignment="1" applyProtection="1">
      <alignment horizontal="center"/>
      <protection/>
    </xf>
    <xf numFmtId="164" fontId="26" fillId="0" borderId="0" xfId="0" applyFont="1" applyFill="1" applyBorder="1" applyAlignment="1" applyProtection="1">
      <alignment horizontal="center"/>
      <protection/>
    </xf>
    <xf numFmtId="164" fontId="4" fillId="0" borderId="0" xfId="0" applyFont="1" applyFill="1" applyBorder="1" applyAlignment="1" applyProtection="1">
      <alignment horizontal="center"/>
      <protection/>
    </xf>
    <xf numFmtId="164" fontId="2" fillId="0" borderId="9" xfId="0" applyNumberFormat="1" applyFont="1" applyFill="1" applyBorder="1" applyAlignment="1" applyProtection="1">
      <alignment horizontal="center" vertical="center" shrinkToFit="1"/>
      <protection/>
    </xf>
    <xf numFmtId="164" fontId="62" fillId="0" borderId="11" xfId="0" applyFont="1" applyFill="1" applyBorder="1" applyAlignment="1" applyProtection="1">
      <alignment horizontal="center"/>
      <protection/>
    </xf>
    <xf numFmtId="164" fontId="42" fillId="0" borderId="11" xfId="0" applyFont="1" applyFill="1" applyBorder="1" applyAlignment="1" applyProtection="1">
      <alignment horizontal="center"/>
      <protection/>
    </xf>
    <xf numFmtId="164" fontId="5" fillId="0" borderId="11" xfId="0" applyFont="1" applyFill="1" applyBorder="1" applyAlignment="1" applyProtection="1">
      <alignment horizontal="center"/>
      <protection/>
    </xf>
    <xf numFmtId="164" fontId="0" fillId="0" borderId="11" xfId="0" applyNumberFormat="1" applyFont="1" applyFill="1" applyBorder="1" applyAlignment="1" applyProtection="1">
      <alignment horizontal="center"/>
      <protection/>
    </xf>
    <xf numFmtId="164" fontId="0" fillId="0" borderId="6" xfId="0" applyNumberFormat="1" applyFont="1" applyFill="1" applyBorder="1" applyAlignment="1" applyProtection="1">
      <alignment horizontal="center"/>
      <protection/>
    </xf>
    <xf numFmtId="164" fontId="0" fillId="0" borderId="0" xfId="0" applyFont="1" applyFill="1" applyBorder="1" applyAlignment="1" applyProtection="1">
      <alignment horizontal="left"/>
      <protection/>
    </xf>
    <xf numFmtId="164" fontId="2" fillId="0" borderId="13" xfId="0" applyNumberFormat="1" applyFont="1" applyFill="1" applyBorder="1" applyAlignment="1" applyProtection="1">
      <alignment horizontal="center" vertical="center" shrinkToFit="1"/>
      <protection/>
    </xf>
    <xf numFmtId="164" fontId="62" fillId="0" borderId="0" xfId="0" applyNumberFormat="1" applyFont="1" applyFill="1" applyBorder="1" applyAlignment="1" applyProtection="1">
      <alignment horizontal="center"/>
      <protection/>
    </xf>
    <xf numFmtId="164" fontId="42" fillId="0" borderId="0" xfId="0" applyFont="1" applyFill="1" applyBorder="1" applyAlignment="1" applyProtection="1">
      <alignment horizontal="center"/>
      <protection/>
    </xf>
    <xf numFmtId="164" fontId="5" fillId="0" borderId="0" xfId="0" applyNumberFormat="1" applyFont="1" applyFill="1" applyBorder="1" applyAlignment="1" applyProtection="1">
      <alignment horizontal="center"/>
      <protection/>
    </xf>
    <xf numFmtId="164" fontId="0" fillId="0" borderId="7" xfId="0" applyNumberFormat="1" applyFont="1" applyFill="1" applyBorder="1" applyAlignment="1" applyProtection="1">
      <alignment horizontal="center"/>
      <protection/>
    </xf>
    <xf numFmtId="164" fontId="4" fillId="0" borderId="13" xfId="0" applyFont="1" applyBorder="1" applyAlignment="1" applyProtection="1">
      <alignment horizontal="center"/>
      <protection/>
    </xf>
    <xf numFmtId="164" fontId="4" fillId="0" borderId="28" xfId="0" applyFont="1" applyBorder="1" applyAlignment="1" applyProtection="1">
      <alignment horizontal="center"/>
      <protection/>
    </xf>
    <xf numFmtId="164" fontId="62" fillId="0" borderId="29" xfId="0" applyNumberFormat="1" applyFont="1" applyFill="1" applyBorder="1" applyAlignment="1" applyProtection="1">
      <alignment horizontal="center"/>
      <protection/>
    </xf>
    <xf numFmtId="164" fontId="0" fillId="0" borderId="29" xfId="0" applyFill="1" applyBorder="1" applyAlignment="1" applyProtection="1">
      <alignment horizontal="center"/>
      <protection/>
    </xf>
    <xf numFmtId="164" fontId="5" fillId="0" borderId="29" xfId="0" applyNumberFormat="1" applyFont="1" applyFill="1" applyBorder="1" applyAlignment="1" applyProtection="1">
      <alignment horizontal="center"/>
      <protection/>
    </xf>
    <xf numFmtId="164" fontId="0" fillId="0" borderId="29" xfId="0" applyNumberFormat="1" applyFont="1" applyFill="1" applyBorder="1" applyAlignment="1" applyProtection="1">
      <alignment horizontal="center"/>
      <protection/>
    </xf>
    <xf numFmtId="164" fontId="0" fillId="0" borderId="8" xfId="0" applyNumberFormat="1" applyFont="1" applyFill="1" applyBorder="1" applyAlignment="1" applyProtection="1">
      <alignment horizontal="center"/>
      <protection/>
    </xf>
    <xf numFmtId="164" fontId="0" fillId="0" borderId="0" xfId="24" applyFont="1" applyFill="1" applyBorder="1" applyAlignment="1" applyProtection="1">
      <alignment horizontal="center" vertical="center"/>
      <protection/>
    </xf>
    <xf numFmtId="164" fontId="17" fillId="0" borderId="0" xfId="24" applyFont="1" applyFill="1" applyBorder="1" applyAlignment="1" applyProtection="1">
      <alignment horizontal="center" vertical="center"/>
      <protection/>
    </xf>
    <xf numFmtId="166" fontId="17" fillId="0" borderId="0" xfId="24" applyNumberFormat="1" applyFont="1" applyFill="1" applyBorder="1" applyAlignment="1" applyProtection="1">
      <alignment horizontal="center" vertical="center"/>
      <protection/>
    </xf>
    <xf numFmtId="164" fontId="55" fillId="0" borderId="18" xfId="0" applyNumberFormat="1" applyFont="1" applyFill="1" applyBorder="1" applyAlignment="1" applyProtection="1">
      <alignment horizontal="center" vertical="center"/>
      <protection/>
    </xf>
    <xf numFmtId="164" fontId="42" fillId="0" borderId="0" xfId="0" applyNumberFormat="1" applyFont="1" applyFill="1" applyBorder="1" applyAlignment="1" applyProtection="1">
      <alignment horizontal="left" vertical="center"/>
      <protection hidden="1"/>
    </xf>
    <xf numFmtId="164" fontId="42" fillId="0" borderId="0" xfId="0" applyNumberFormat="1" applyFont="1" applyFill="1" applyBorder="1" applyAlignment="1" applyProtection="1">
      <alignment horizontal="center" vertical="center"/>
      <protection hidden="1"/>
    </xf>
    <xf numFmtId="164" fontId="55" fillId="0" borderId="0" xfId="0" applyNumberFormat="1" applyFont="1" applyFill="1" applyAlignment="1" applyProtection="1">
      <alignment horizontal="center" vertical="center"/>
      <protection/>
    </xf>
    <xf numFmtId="164" fontId="55" fillId="0" borderId="27" xfId="0" applyNumberFormat="1" applyFont="1" applyFill="1" applyBorder="1" applyAlignment="1" applyProtection="1">
      <alignment horizontal="center" vertical="center"/>
      <protection/>
    </xf>
    <xf numFmtId="164" fontId="64" fillId="0" borderId="0" xfId="0" applyNumberFormat="1" applyFont="1" applyFill="1" applyBorder="1" applyAlignment="1" applyProtection="1">
      <alignment horizontal="left" vertical="center"/>
      <protection hidden="1"/>
    </xf>
    <xf numFmtId="164" fontId="64" fillId="0" borderId="0" xfId="0" applyNumberFormat="1" applyFont="1" applyFill="1" applyBorder="1" applyAlignment="1" applyProtection="1">
      <alignment horizontal="center" vertical="center"/>
      <protection hidden="1"/>
    </xf>
    <xf numFmtId="164" fontId="34" fillId="4" borderId="9" xfId="24" applyNumberFormat="1" applyFont="1" applyFill="1" applyBorder="1" applyAlignment="1" applyProtection="1">
      <alignment horizontal="center" vertical="center" wrapText="1"/>
      <protection/>
    </xf>
    <xf numFmtId="190" fontId="34" fillId="4" borderId="9" xfId="24" applyNumberFormat="1" applyFont="1" applyFill="1" applyBorder="1" applyAlignment="1" applyProtection="1">
      <alignment horizontal="center" vertical="center" wrapText="1"/>
      <protection/>
    </xf>
    <xf numFmtId="164" fontId="34" fillId="4" borderId="18" xfId="24" applyNumberFormat="1" applyFont="1" applyFill="1" applyBorder="1" applyAlignment="1" applyProtection="1">
      <alignment horizontal="center" vertical="center" wrapText="1"/>
      <protection/>
    </xf>
    <xf numFmtId="164" fontId="34" fillId="0" borderId="0" xfId="24" applyNumberFormat="1" applyFont="1" applyFill="1" applyBorder="1" applyAlignment="1" applyProtection="1">
      <alignment horizontal="center" vertical="center" wrapText="1"/>
      <protection/>
    </xf>
    <xf numFmtId="164" fontId="16" fillId="0" borderId="0" xfId="24" applyNumberFormat="1" applyFont="1" applyFill="1" applyBorder="1" applyAlignment="1" applyProtection="1">
      <alignment horizontal="center" vertical="center"/>
      <protection/>
    </xf>
    <xf numFmtId="184" fontId="16" fillId="4" borderId="12" xfId="24" applyNumberFormat="1" applyFont="1" applyFill="1" applyBorder="1" applyAlignment="1" applyProtection="1">
      <alignment horizontal="center" vertical="center" wrapText="1" shrinkToFit="1"/>
      <protection/>
    </xf>
    <xf numFmtId="164" fontId="4" fillId="0" borderId="0" xfId="24" applyNumberFormat="1" applyFont="1" applyFill="1" applyBorder="1" applyAlignment="1" applyProtection="1">
      <alignment horizontal="center" vertical="center"/>
      <protection/>
    </xf>
    <xf numFmtId="164" fontId="16" fillId="4" borderId="13" xfId="24" applyNumberFormat="1" applyFont="1" applyFill="1" applyBorder="1" applyAlignment="1" applyProtection="1">
      <alignment horizontal="center" vertical="center" textRotation="90" wrapText="1"/>
      <protection/>
    </xf>
    <xf numFmtId="164" fontId="16" fillId="4" borderId="0" xfId="24" applyNumberFormat="1" applyFont="1" applyFill="1" applyBorder="1" applyAlignment="1" applyProtection="1">
      <alignment horizontal="center" vertical="center" textRotation="90" wrapText="1"/>
      <protection/>
    </xf>
    <xf numFmtId="164" fontId="5" fillId="4" borderId="17" xfId="24" applyNumberFormat="1" applyFont="1" applyFill="1" applyBorder="1" applyAlignment="1" applyProtection="1">
      <alignment horizontal="center" vertical="center" wrapText="1"/>
      <protection/>
    </xf>
    <xf numFmtId="164" fontId="5" fillId="4" borderId="0" xfId="24" applyNumberFormat="1" applyFont="1" applyFill="1" applyBorder="1" applyAlignment="1" applyProtection="1">
      <alignment horizontal="center" vertical="center" textRotation="90" wrapText="1"/>
      <protection/>
    </xf>
    <xf numFmtId="164" fontId="5" fillId="4" borderId="7" xfId="24" applyNumberFormat="1" applyFont="1" applyFill="1" applyBorder="1" applyAlignment="1" applyProtection="1">
      <alignment horizontal="center" vertical="center" textRotation="90" wrapText="1"/>
      <protection/>
    </xf>
    <xf numFmtId="164" fontId="5" fillId="0" borderId="0" xfId="24" applyNumberFormat="1" applyFont="1" applyFill="1" applyBorder="1" applyAlignment="1" applyProtection="1">
      <alignment horizontal="center" vertical="center" textRotation="90" wrapText="1"/>
      <protection/>
    </xf>
    <xf numFmtId="164" fontId="5" fillId="4" borderId="17" xfId="24" applyNumberFormat="1" applyFont="1" applyFill="1" applyBorder="1" applyAlignment="1" applyProtection="1">
      <alignment horizontal="center" vertical="top" wrapText="1"/>
      <protection/>
    </xf>
    <xf numFmtId="184" fontId="5" fillId="4" borderId="39" xfId="24" applyNumberFormat="1" applyFont="1" applyFill="1" applyBorder="1" applyAlignment="1" applyProtection="1">
      <alignment horizontal="center" vertical="top" wrapText="1" shrinkToFit="1"/>
      <protection/>
    </xf>
    <xf numFmtId="164" fontId="16" fillId="0" borderId="0" xfId="24" applyNumberFormat="1" applyFont="1" applyFill="1" applyBorder="1" applyAlignment="1" applyProtection="1">
      <alignment horizontal="center" vertical="center" wrapText="1"/>
      <protection/>
    </xf>
    <xf numFmtId="164" fontId="4" fillId="0" borderId="0" xfId="24" applyNumberFormat="1" applyFont="1" applyFill="1" applyBorder="1" applyAlignment="1" applyProtection="1">
      <alignment horizontal="center" vertical="center" wrapText="1"/>
      <protection/>
    </xf>
    <xf numFmtId="164" fontId="0" fillId="8" borderId="13" xfId="24" applyNumberFormat="1" applyFont="1" applyFill="1" applyBorder="1" applyAlignment="1" applyProtection="1">
      <alignment horizontal="right" vertical="center" shrinkToFit="1"/>
      <protection/>
    </xf>
    <xf numFmtId="164" fontId="0" fillId="8" borderId="13" xfId="24" applyNumberFormat="1" applyFont="1" applyFill="1" applyBorder="1" applyAlignment="1" applyProtection="1">
      <alignment horizontal="center" vertical="center" shrinkToFit="1"/>
      <protection/>
    </xf>
    <xf numFmtId="164" fontId="4" fillId="0" borderId="0" xfId="24" applyNumberFormat="1" applyFont="1" applyFill="1" applyBorder="1" applyAlignment="1" applyProtection="1">
      <alignment horizontal="center" vertical="center" shrinkToFit="1"/>
      <protection/>
    </xf>
    <xf numFmtId="164" fontId="5" fillId="0" borderId="0" xfId="24" applyNumberFormat="1" applyFont="1" applyFill="1" applyBorder="1" applyAlignment="1" applyProtection="1">
      <alignment horizontal="center" vertical="center" shrinkToFit="1"/>
      <protection/>
    </xf>
    <xf numFmtId="164" fontId="4" fillId="0" borderId="13" xfId="24" applyNumberFormat="1" applyFont="1" applyFill="1" applyBorder="1" applyAlignment="1" applyProtection="1">
      <alignment horizontal="center" vertical="center"/>
      <protection/>
    </xf>
    <xf numFmtId="164" fontId="0" fillId="8" borderId="41" xfId="24" applyNumberFormat="1" applyFont="1" applyFill="1" applyBorder="1" applyAlignment="1" applyProtection="1">
      <alignment horizontal="center" vertical="center" shrinkToFit="1"/>
      <protection/>
    </xf>
    <xf numFmtId="164" fontId="0" fillId="0" borderId="0" xfId="24" applyNumberFormat="1" applyFont="1" applyFill="1" applyBorder="1" applyAlignment="1" applyProtection="1">
      <alignment horizontal="center" vertical="center" shrinkToFit="1"/>
      <protection/>
    </xf>
    <xf numFmtId="164" fontId="4" fillId="0" borderId="42" xfId="24" applyNumberFormat="1" applyFont="1" applyFill="1" applyBorder="1" applyAlignment="1" applyProtection="1">
      <alignment horizontal="center" vertical="center" shrinkToFit="1"/>
      <protection/>
    </xf>
    <xf numFmtId="164" fontId="0" fillId="8" borderId="0" xfId="24" applyNumberFormat="1" applyFont="1" applyFill="1" applyBorder="1" applyAlignment="1" applyProtection="1">
      <alignment horizontal="center" vertical="center" shrinkToFit="1"/>
      <protection/>
    </xf>
    <xf numFmtId="164" fontId="0" fillId="8" borderId="7" xfId="24" applyNumberFormat="1" applyFont="1" applyFill="1" applyBorder="1" applyAlignment="1" applyProtection="1">
      <alignment horizontal="center" vertical="center" shrinkToFit="1"/>
      <protection/>
    </xf>
    <xf numFmtId="164" fontId="0" fillId="0" borderId="0" xfId="24" applyFont="1" applyFill="1" applyBorder="1" applyAlignment="1" applyProtection="1">
      <alignment horizontal="center" vertical="center" shrinkToFit="1"/>
      <protection/>
    </xf>
    <xf numFmtId="164" fontId="4" fillId="8" borderId="0" xfId="24" applyNumberFormat="1" applyFont="1" applyFill="1" applyBorder="1" applyAlignment="1" applyProtection="1">
      <alignment horizontal="center" vertical="center" shrinkToFit="1"/>
      <protection/>
    </xf>
    <xf numFmtId="164" fontId="4" fillId="0" borderId="32" xfId="24" applyNumberFormat="1" applyFont="1" applyFill="1" applyBorder="1" applyAlignment="1" applyProtection="1">
      <alignment horizontal="center" vertical="center" shrinkToFit="1"/>
      <protection/>
    </xf>
    <xf numFmtId="164" fontId="0" fillId="0" borderId="13" xfId="24" applyNumberFormat="1" applyFont="1" applyFill="1" applyBorder="1" applyAlignment="1" applyProtection="1">
      <alignment horizontal="center" vertical="center" shrinkToFit="1"/>
      <protection/>
    </xf>
    <xf numFmtId="181" fontId="0" fillId="0" borderId="38" xfId="22" applyNumberFormat="1" applyFont="1" applyFill="1" applyBorder="1" applyAlignment="1" applyProtection="1">
      <alignment/>
      <protection/>
    </xf>
    <xf numFmtId="181" fontId="0" fillId="0" borderId="0" xfId="22" applyNumberFormat="1" applyFont="1" applyFill="1" applyBorder="1" applyAlignment="1" applyProtection="1">
      <alignment/>
      <protection/>
    </xf>
    <xf numFmtId="164" fontId="0" fillId="0" borderId="43" xfId="24" applyNumberFormat="1" applyFont="1" applyFill="1" applyBorder="1" applyAlignment="1" applyProtection="1">
      <alignment horizontal="center" vertical="center" shrinkToFit="1"/>
      <protection/>
    </xf>
    <xf numFmtId="175" fontId="0" fillId="0" borderId="17" xfId="24" applyNumberFormat="1" applyFont="1" applyFill="1" applyBorder="1" applyAlignment="1" applyProtection="1">
      <alignment horizontal="center" vertical="center" shrinkToFit="1"/>
      <protection/>
    </xf>
    <xf numFmtId="174" fontId="0" fillId="0" borderId="17" xfId="22" applyNumberFormat="1" applyFont="1" applyFill="1" applyBorder="1" applyAlignment="1" applyProtection="1">
      <alignment horizontal="center"/>
      <protection/>
    </xf>
    <xf numFmtId="174" fontId="0" fillId="0" borderId="39" xfId="22" applyNumberFormat="1" applyFont="1" applyFill="1" applyBorder="1" applyAlignment="1" applyProtection="1">
      <alignment horizontal="center"/>
      <protection/>
    </xf>
    <xf numFmtId="181" fontId="0" fillId="0" borderId="17" xfId="22" applyNumberFormat="1" applyFont="1" applyFill="1" applyBorder="1" applyAlignment="1" applyProtection="1">
      <alignment/>
      <protection/>
    </xf>
    <xf numFmtId="164" fontId="10" fillId="0" borderId="13" xfId="24" applyNumberFormat="1" applyFont="1" applyFill="1" applyBorder="1" applyAlignment="1" applyProtection="1">
      <alignment horizontal="center" vertical="center" shrinkToFit="1"/>
      <protection/>
    </xf>
    <xf numFmtId="181" fontId="10" fillId="0" borderId="38" xfId="22" applyNumberFormat="1" applyFont="1" applyFill="1" applyBorder="1" applyAlignment="1" applyProtection="1">
      <alignment/>
      <protection/>
    </xf>
    <xf numFmtId="164" fontId="10" fillId="0" borderId="0" xfId="24" applyNumberFormat="1" applyFont="1" applyFill="1" applyBorder="1" applyAlignment="1" applyProtection="1">
      <alignment horizontal="center" vertical="center" shrinkToFit="1"/>
      <protection/>
    </xf>
    <xf numFmtId="164" fontId="10" fillId="0" borderId="44" xfId="24" applyNumberFormat="1" applyFont="1" applyFill="1" applyBorder="1" applyAlignment="1" applyProtection="1">
      <alignment horizontal="center" vertical="center" shrinkToFit="1"/>
      <protection/>
    </xf>
    <xf numFmtId="175" fontId="10" fillId="0" borderId="17" xfId="24" applyNumberFormat="1" applyFont="1" applyFill="1" applyBorder="1" applyAlignment="1" applyProtection="1">
      <alignment horizontal="center" vertical="center" shrinkToFit="1"/>
      <protection/>
    </xf>
    <xf numFmtId="174" fontId="10" fillId="0" borderId="17" xfId="22" applyNumberFormat="1" applyFont="1" applyFill="1" applyBorder="1" applyAlignment="1" applyProtection="1">
      <alignment horizontal="center"/>
      <protection/>
    </xf>
    <xf numFmtId="174" fontId="10" fillId="0" borderId="39" xfId="22" applyNumberFormat="1" applyFont="1" applyFill="1" applyBorder="1" applyAlignment="1" applyProtection="1">
      <alignment horizontal="center"/>
      <protection/>
    </xf>
    <xf numFmtId="181" fontId="10" fillId="0" borderId="17" xfId="22" applyNumberFormat="1" applyFont="1" applyFill="1" applyBorder="1" applyAlignment="1" applyProtection="1">
      <alignment/>
      <protection/>
    </xf>
    <xf numFmtId="164" fontId="17" fillId="9" borderId="13" xfId="24" applyNumberFormat="1" applyFont="1" applyFill="1" applyBorder="1" applyAlignment="1" applyProtection="1">
      <alignment horizontal="center" vertical="center" shrinkToFit="1"/>
      <protection/>
    </xf>
    <xf numFmtId="191" fontId="17" fillId="9" borderId="38" xfId="22" applyNumberFormat="1" applyFont="1" applyFill="1" applyBorder="1" applyAlignment="1" applyProtection="1">
      <alignment horizontal="right"/>
      <protection/>
    </xf>
    <xf numFmtId="191" fontId="17" fillId="0" borderId="0" xfId="22" applyNumberFormat="1" applyFont="1" applyFill="1" applyBorder="1" applyAlignment="1" applyProtection="1">
      <alignment horizontal="right"/>
      <protection/>
    </xf>
    <xf numFmtId="164" fontId="17" fillId="8" borderId="0" xfId="24" applyNumberFormat="1" applyFont="1" applyFill="1" applyBorder="1" applyAlignment="1" applyProtection="1">
      <alignment horizontal="center" vertical="center" shrinkToFit="1"/>
      <protection/>
    </xf>
    <xf numFmtId="181" fontId="82" fillId="9" borderId="0" xfId="15" applyNumberFormat="1" applyFont="1" applyFill="1" applyBorder="1" applyAlignment="1" applyProtection="1">
      <alignment horizontal="center" vertical="center" shrinkToFit="1"/>
      <protection/>
    </xf>
    <xf numFmtId="181" fontId="17" fillId="9" borderId="7" xfId="15" applyNumberFormat="1" applyFont="1" applyFill="1" applyBorder="1" applyAlignment="1" applyProtection="1">
      <alignment horizontal="center" vertical="center" shrinkToFit="1"/>
      <protection/>
    </xf>
    <xf numFmtId="175" fontId="17" fillId="9" borderId="17" xfId="24" applyNumberFormat="1" applyFont="1" applyFill="1" applyBorder="1" applyAlignment="1" applyProtection="1">
      <alignment horizontal="center" vertical="center" shrinkToFit="1"/>
      <protection/>
    </xf>
    <xf numFmtId="174" fontId="17" fillId="9" borderId="17" xfId="22" applyNumberFormat="1" applyFont="1" applyFill="1" applyBorder="1" applyAlignment="1" applyProtection="1">
      <alignment horizontal="center"/>
      <protection/>
    </xf>
    <xf numFmtId="174" fontId="17" fillId="9" borderId="39" xfId="22" applyNumberFormat="1" applyFont="1" applyFill="1" applyBorder="1" applyAlignment="1" applyProtection="1">
      <alignment horizontal="center"/>
      <protection/>
    </xf>
    <xf numFmtId="164" fontId="17" fillId="0" borderId="0" xfId="24" applyFont="1" applyFill="1" applyBorder="1" applyAlignment="1" applyProtection="1">
      <alignment horizontal="center" vertical="center" shrinkToFit="1"/>
      <protection/>
    </xf>
    <xf numFmtId="191" fontId="17" fillId="9" borderId="17" xfId="22" applyNumberFormat="1" applyFont="1" applyFill="1" applyBorder="1" applyAlignment="1" applyProtection="1">
      <alignment horizontal="right"/>
      <protection/>
    </xf>
    <xf numFmtId="164" fontId="0" fillId="0" borderId="13" xfId="24" applyFont="1" applyFill="1" applyBorder="1" applyAlignment="1" applyProtection="1">
      <alignment horizontal="center" vertical="center"/>
      <protection/>
    </xf>
    <xf numFmtId="164" fontId="4" fillId="0" borderId="38" xfId="24" applyNumberFormat="1" applyFont="1" applyFill="1" applyBorder="1" applyAlignment="1" applyProtection="1">
      <alignment horizontal="center" vertical="center"/>
      <protection/>
    </xf>
    <xf numFmtId="164" fontId="4" fillId="0" borderId="17" xfId="24" applyNumberFormat="1" applyFont="1" applyFill="1" applyBorder="1" applyAlignment="1" applyProtection="1">
      <alignment horizontal="center" vertical="center"/>
      <protection/>
    </xf>
    <xf numFmtId="164" fontId="0" fillId="0" borderId="28" xfId="24" applyFont="1" applyFill="1" applyBorder="1" applyAlignment="1" applyProtection="1">
      <alignment horizontal="center" vertical="center"/>
      <protection/>
    </xf>
    <xf numFmtId="193" fontId="0" fillId="0" borderId="28" xfId="19" applyNumberFormat="1" applyFont="1" applyFill="1" applyBorder="1" applyAlignment="1" applyProtection="1">
      <alignment horizontal="center" vertical="center"/>
      <protection/>
    </xf>
    <xf numFmtId="164" fontId="0" fillId="8" borderId="29" xfId="24" applyNumberFormat="1" applyFont="1" applyFill="1" applyBorder="1" applyAlignment="1" applyProtection="1">
      <alignment horizontal="center" vertical="center" shrinkToFit="1"/>
      <protection/>
    </xf>
    <xf numFmtId="164" fontId="0" fillId="8" borderId="8" xfId="24" applyNumberFormat="1" applyFont="1" applyFill="1" applyBorder="1" applyAlignment="1" applyProtection="1">
      <alignment horizontal="center" vertical="center" shrinkToFit="1"/>
      <protection/>
    </xf>
    <xf numFmtId="166" fontId="0" fillId="0" borderId="0" xfId="24" applyNumberFormat="1" applyFont="1" applyFill="1" applyBorder="1" applyAlignment="1" applyProtection="1">
      <alignment horizontal="center" vertical="center"/>
      <protection/>
    </xf>
    <xf numFmtId="164" fontId="18" fillId="0" borderId="45" xfId="24" applyNumberFormat="1" applyFont="1" applyFill="1" applyBorder="1" applyAlignment="1" applyProtection="1">
      <alignment horizontal="center" vertical="center"/>
      <protection/>
    </xf>
    <xf numFmtId="164" fontId="17" fillId="0" borderId="1" xfId="24" applyFont="1" applyFill="1" applyBorder="1" applyAlignment="1" applyProtection="1">
      <alignment horizontal="center" vertical="center"/>
      <protection/>
    </xf>
    <xf numFmtId="164" fontId="18" fillId="0" borderId="0" xfId="24" applyNumberFormat="1" applyFont="1" applyFill="1" applyBorder="1" applyAlignment="1" applyProtection="1">
      <alignment horizontal="center" vertical="center"/>
      <protection/>
    </xf>
    <xf numFmtId="164" fontId="18" fillId="0" borderId="23" xfId="24" applyNumberFormat="1" applyFont="1" applyFill="1" applyBorder="1" applyAlignment="1" applyProtection="1">
      <alignment horizontal="center" vertical="center"/>
      <protection/>
    </xf>
    <xf numFmtId="166" fontId="73" fillId="0" borderId="21" xfId="24" applyNumberFormat="1" applyFont="1" applyFill="1" applyBorder="1" applyAlignment="1" applyProtection="1">
      <alignment horizontal="center" vertical="center"/>
      <protection/>
    </xf>
    <xf numFmtId="164" fontId="83" fillId="0" borderId="1" xfId="24" applyNumberFormat="1" applyFont="1" applyFill="1" applyBorder="1" applyAlignment="1" applyProtection="1">
      <alignment horizontal="center" vertical="center"/>
      <protection/>
    </xf>
    <xf numFmtId="164" fontId="83" fillId="0" borderId="25" xfId="24" applyNumberFormat="1" applyFont="1" applyFill="1" applyBorder="1" applyAlignment="1" applyProtection="1">
      <alignment horizontal="center" vertical="center"/>
      <protection/>
    </xf>
    <xf numFmtId="164" fontId="19" fillId="0" borderId="22" xfId="24" applyNumberFormat="1" applyFont="1" applyFill="1" applyBorder="1" applyAlignment="1" applyProtection="1">
      <alignment horizontal="center" vertical="center"/>
      <protection/>
    </xf>
    <xf numFmtId="164" fontId="0" fillId="0" borderId="46" xfId="24" applyFont="1" applyFill="1" applyBorder="1" applyAlignment="1" applyProtection="1">
      <alignment horizontal="center" vertical="center" wrapText="1"/>
      <protection/>
    </xf>
    <xf numFmtId="164" fontId="19" fillId="0" borderId="0" xfId="24" applyNumberFormat="1" applyFont="1" applyFill="1" applyBorder="1" applyAlignment="1" applyProtection="1">
      <alignment horizontal="center" vertical="center"/>
      <protection/>
    </xf>
    <xf numFmtId="164" fontId="19" fillId="0" borderId="23" xfId="24" applyNumberFormat="1" applyFont="1" applyFill="1" applyBorder="1" applyAlignment="1" applyProtection="1">
      <alignment horizontal="center" vertical="center"/>
      <protection/>
    </xf>
    <xf numFmtId="166" fontId="84" fillId="0" borderId="22" xfId="24" applyNumberFormat="1" applyFont="1" applyFill="1" applyBorder="1" applyAlignment="1" applyProtection="1">
      <alignment horizontal="center" vertical="center"/>
      <protection/>
    </xf>
    <xf numFmtId="164" fontId="84" fillId="0" borderId="0" xfId="24" applyNumberFormat="1" applyFont="1" applyFill="1" applyBorder="1" applyAlignment="1" applyProtection="1">
      <alignment horizontal="center" vertical="center"/>
      <protection/>
    </xf>
    <xf numFmtId="164" fontId="84" fillId="0" borderId="23" xfId="24" applyNumberFormat="1" applyFont="1" applyFill="1" applyBorder="1" applyAlignment="1" applyProtection="1">
      <alignment horizontal="center" vertical="center"/>
      <protection/>
    </xf>
    <xf numFmtId="166" fontId="10" fillId="0" borderId="21" xfId="24" applyNumberFormat="1" applyFont="1" applyFill="1" applyBorder="1" applyAlignment="1" applyProtection="1">
      <alignment horizontal="center" vertical="center"/>
      <protection/>
    </xf>
    <xf numFmtId="164" fontId="11" fillId="0" borderId="1" xfId="24" applyNumberFormat="1" applyFont="1" applyFill="1" applyBorder="1" applyAlignment="1" applyProtection="1">
      <alignment horizontal="center" vertical="center"/>
      <protection/>
    </xf>
    <xf numFmtId="164" fontId="11" fillId="0" borderId="25" xfId="24" applyNumberFormat="1" applyFont="1" applyFill="1" applyBorder="1" applyAlignment="1" applyProtection="1">
      <alignment horizontal="center" vertical="center"/>
      <protection/>
    </xf>
    <xf numFmtId="164" fontId="85" fillId="0" borderId="45" xfId="24" applyFont="1" applyFill="1" applyBorder="1" applyAlignment="1" applyProtection="1">
      <alignment horizontal="center" vertical="center"/>
      <protection/>
    </xf>
    <xf numFmtId="174" fontId="85" fillId="0" borderId="47" xfId="24" applyNumberFormat="1" applyFont="1" applyFill="1" applyBorder="1" applyAlignment="1" applyProtection="1">
      <alignment horizontal="center" vertical="center"/>
      <protection/>
    </xf>
    <xf numFmtId="164" fontId="85" fillId="0" borderId="47" xfId="24" applyNumberFormat="1" applyFont="1" applyFill="1" applyBorder="1" applyAlignment="1" applyProtection="1">
      <alignment horizontal="center" vertical="center"/>
      <protection/>
    </xf>
    <xf numFmtId="164" fontId="85" fillId="0" borderId="48" xfId="24" applyNumberFormat="1" applyFont="1" applyFill="1" applyBorder="1" applyAlignment="1" applyProtection="1">
      <alignment horizontal="center" vertical="center"/>
      <protection/>
    </xf>
    <xf numFmtId="164" fontId="86" fillId="0" borderId="37" xfId="24" applyFont="1" applyFill="1" applyBorder="1" applyAlignment="1" applyProtection="1">
      <alignment horizontal="right" vertical="center"/>
      <protection/>
    </xf>
    <xf numFmtId="164" fontId="87" fillId="0" borderId="46" xfId="24" applyNumberFormat="1" applyFont="1" applyFill="1" applyBorder="1" applyAlignment="1" applyProtection="1">
      <alignment horizontal="center" vertical="center"/>
      <protection/>
    </xf>
    <xf numFmtId="164" fontId="87" fillId="0" borderId="49" xfId="24" applyNumberFormat="1" applyFont="1" applyFill="1" applyBorder="1" applyAlignment="1" applyProtection="1">
      <alignment horizontal="center" vertical="center"/>
      <protection/>
    </xf>
    <xf numFmtId="164" fontId="73" fillId="0" borderId="21" xfId="24" applyFont="1" applyFill="1" applyBorder="1" applyAlignment="1" applyProtection="1">
      <alignment horizontal="center" vertical="center"/>
      <protection/>
    </xf>
    <xf numFmtId="174" fontId="73" fillId="0" borderId="1" xfId="24" applyNumberFormat="1" applyFont="1" applyFill="1" applyBorder="1" applyAlignment="1" applyProtection="1">
      <alignment horizontal="center" vertical="center"/>
      <protection/>
    </xf>
    <xf numFmtId="164" fontId="73" fillId="0" borderId="1" xfId="24" applyNumberFormat="1" applyFont="1" applyFill="1" applyBorder="1" applyAlignment="1" applyProtection="1">
      <alignment horizontal="center" vertical="center"/>
      <protection/>
    </xf>
    <xf numFmtId="164" fontId="73" fillId="0" borderId="25" xfId="24" applyNumberFormat="1" applyFont="1" applyFill="1" applyBorder="1" applyAlignment="1" applyProtection="1">
      <alignment horizontal="center" vertical="center"/>
      <protection/>
    </xf>
    <xf numFmtId="164" fontId="4" fillId="0" borderId="0" xfId="0" applyFont="1" applyAlignment="1">
      <alignment horizontal="center" vertical="top"/>
    </xf>
    <xf numFmtId="164" fontId="0" fillId="0" borderId="0" xfId="0" applyAlignment="1">
      <alignment wrapText="1"/>
    </xf>
    <xf numFmtId="164" fontId="16" fillId="4" borderId="0" xfId="0" applyFont="1" applyFill="1" applyAlignment="1">
      <alignment horizontal="center" vertical="center"/>
    </xf>
    <xf numFmtId="164" fontId="16" fillId="4" borderId="0" xfId="0" applyFont="1" applyFill="1" applyAlignment="1">
      <alignment vertical="center" wrapText="1"/>
    </xf>
    <xf numFmtId="164" fontId="4" fillId="0" borderId="0" xfId="0" applyFont="1" applyAlignment="1">
      <alignment vertical="center"/>
    </xf>
    <xf numFmtId="164" fontId="4" fillId="0" borderId="37" xfId="0" applyFont="1" applyFill="1" applyBorder="1" applyAlignment="1">
      <alignment horizontal="center" vertical="top"/>
    </xf>
    <xf numFmtId="164" fontId="10" fillId="0" borderId="48" xfId="0" applyFont="1" applyFill="1" applyBorder="1" applyAlignment="1">
      <alignment vertical="top" wrapText="1"/>
    </xf>
    <xf numFmtId="164" fontId="4" fillId="0" borderId="23" xfId="0" applyFont="1" applyFill="1" applyBorder="1" applyAlignment="1">
      <alignment vertical="top" wrapText="1"/>
    </xf>
    <xf numFmtId="164" fontId="0" fillId="0" borderId="25" xfId="0" applyFont="1" applyFill="1" applyBorder="1" applyAlignment="1">
      <alignment vertical="top" wrapText="1"/>
    </xf>
    <xf numFmtId="164" fontId="16" fillId="0" borderId="48" xfId="0" applyFont="1" applyFill="1" applyBorder="1" applyAlignment="1">
      <alignment horizontal="center" vertical="top" wrapText="1"/>
    </xf>
    <xf numFmtId="164" fontId="5" fillId="0" borderId="48" xfId="0" applyFont="1" applyFill="1" applyBorder="1" applyAlignment="1">
      <alignment vertical="top" wrapText="1"/>
    </xf>
    <xf numFmtId="164" fontId="16" fillId="2" borderId="48" xfId="0" applyFont="1" applyFill="1" applyBorder="1" applyAlignment="1">
      <alignment horizontal="center" vertical="top" wrapText="1"/>
    </xf>
    <xf numFmtId="164" fontId="16" fillId="2" borderId="48" xfId="0" applyFont="1" applyFill="1" applyBorder="1" applyAlignment="1">
      <alignment vertical="top" wrapText="1"/>
    </xf>
    <xf numFmtId="164" fontId="5" fillId="0" borderId="0" xfId="0" applyFont="1" applyBorder="1" applyAlignment="1" applyProtection="1">
      <alignment/>
      <protection hidden="1"/>
    </xf>
    <xf numFmtId="164" fontId="5" fillId="0" borderId="0" xfId="0" applyFont="1" applyBorder="1" applyAlignment="1" applyProtection="1">
      <alignment horizontal="center"/>
      <protection hidden="1"/>
    </xf>
    <xf numFmtId="164" fontId="0" fillId="0" borderId="0" xfId="0" applyBorder="1" applyAlignment="1" applyProtection="1">
      <alignment/>
      <protection hidden="1" locked="0"/>
    </xf>
    <xf numFmtId="164" fontId="5" fillId="4" borderId="0" xfId="0" applyFont="1" applyFill="1" applyBorder="1" applyAlignment="1" applyProtection="1">
      <alignment vertical="center"/>
      <protection hidden="1"/>
    </xf>
    <xf numFmtId="164" fontId="5" fillId="4" borderId="0" xfId="0" applyFont="1" applyFill="1" applyBorder="1" applyAlignment="1" applyProtection="1">
      <alignment horizontal="center" vertical="center"/>
      <protection hidden="1"/>
    </xf>
    <xf numFmtId="164" fontId="16" fillId="4" borderId="0" xfId="0" applyFont="1" applyFill="1" applyBorder="1" applyAlignment="1" applyProtection="1">
      <alignment horizontal="center" vertical="center"/>
      <protection hidden="1"/>
    </xf>
    <xf numFmtId="164" fontId="4" fillId="4" borderId="0" xfId="0" applyFont="1" applyFill="1" applyBorder="1" applyAlignment="1" applyProtection="1">
      <alignment horizontal="center" vertical="center"/>
      <protection hidden="1"/>
    </xf>
    <xf numFmtId="164" fontId="0" fillId="0" borderId="0" xfId="0" applyBorder="1" applyAlignment="1" applyProtection="1">
      <alignment vertical="center"/>
      <protection hidden="1" locked="0"/>
    </xf>
    <xf numFmtId="164" fontId="16" fillId="12" borderId="9" xfId="0" applyNumberFormat="1" applyFont="1" applyFill="1" applyBorder="1" applyAlignment="1" applyProtection="1">
      <alignment horizontal="center"/>
      <protection hidden="1"/>
    </xf>
    <xf numFmtId="164" fontId="7" fillId="0" borderId="11" xfId="0" applyNumberFormat="1" applyFont="1" applyBorder="1" applyAlignment="1" applyProtection="1">
      <alignment horizontal="center"/>
      <protection hidden="1"/>
    </xf>
    <xf numFmtId="164" fontId="0" fillId="0" borderId="0" xfId="0" applyNumberFormat="1" applyBorder="1" applyAlignment="1" applyProtection="1">
      <alignment horizontal="center"/>
      <protection hidden="1"/>
    </xf>
    <xf numFmtId="164" fontId="5" fillId="0" borderId="6" xfId="0" applyNumberFormat="1" applyFont="1" applyBorder="1" applyAlignment="1" applyProtection="1">
      <alignment horizontal="center"/>
      <protection hidden="1"/>
    </xf>
    <xf numFmtId="164" fontId="5" fillId="0" borderId="13" xfId="0" applyNumberFormat="1" applyFont="1" applyBorder="1" applyAlignment="1" applyProtection="1">
      <alignment/>
      <protection hidden="1"/>
    </xf>
    <xf numFmtId="164" fontId="4" fillId="0" borderId="0" xfId="0" applyNumberFormat="1" applyFont="1" applyFill="1" applyBorder="1" applyAlignment="1" applyProtection="1">
      <alignment horizontal="center"/>
      <protection hidden="1"/>
    </xf>
    <xf numFmtId="164" fontId="5" fillId="0" borderId="0" xfId="0" applyNumberFormat="1" applyFont="1" applyBorder="1" applyAlignment="1" applyProtection="1">
      <alignment horizontal="center"/>
      <protection hidden="1"/>
    </xf>
    <xf numFmtId="164" fontId="5" fillId="0" borderId="7" xfId="0" applyFont="1" applyBorder="1" applyAlignment="1" applyProtection="1">
      <alignment/>
      <protection hidden="1"/>
    </xf>
    <xf numFmtId="174" fontId="88" fillId="0" borderId="0" xfId="0" applyNumberFormat="1" applyFont="1" applyFill="1" applyBorder="1" applyAlignment="1" applyProtection="1">
      <alignment horizontal="center"/>
      <protection hidden="1"/>
    </xf>
    <xf numFmtId="164" fontId="0" fillId="0" borderId="0" xfId="0" applyNumberFormat="1" applyBorder="1" applyAlignment="1" applyProtection="1">
      <alignment/>
      <protection hidden="1" locked="0"/>
    </xf>
    <xf numFmtId="164" fontId="5" fillId="9" borderId="13" xfId="0" applyNumberFormat="1" applyFont="1" applyFill="1" applyBorder="1" applyAlignment="1" applyProtection="1">
      <alignment/>
      <protection hidden="1"/>
    </xf>
    <xf numFmtId="174" fontId="4" fillId="9" borderId="0" xfId="0" applyNumberFormat="1" applyFont="1" applyFill="1" applyBorder="1" applyAlignment="1" applyProtection="1">
      <alignment horizontal="center"/>
      <protection hidden="1"/>
    </xf>
    <xf numFmtId="164" fontId="5" fillId="9" borderId="0" xfId="0" applyNumberFormat="1" applyFont="1" applyFill="1" applyBorder="1" applyAlignment="1" applyProtection="1">
      <alignment horizontal="center"/>
      <protection hidden="1"/>
    </xf>
    <xf numFmtId="164" fontId="0" fillId="9" borderId="0" xfId="0" applyNumberFormat="1" applyFill="1" applyBorder="1" applyAlignment="1" applyProtection="1">
      <alignment horizontal="center"/>
      <protection hidden="1"/>
    </xf>
    <xf numFmtId="164" fontId="5" fillId="9" borderId="7" xfId="0" applyNumberFormat="1" applyFont="1" applyFill="1" applyBorder="1" applyAlignment="1" applyProtection="1">
      <alignment/>
      <protection hidden="1"/>
    </xf>
    <xf numFmtId="164" fontId="0" fillId="9" borderId="13" xfId="0" applyFont="1" applyFill="1" applyBorder="1" applyAlignment="1" applyProtection="1">
      <alignment/>
      <protection hidden="1"/>
    </xf>
    <xf numFmtId="168" fontId="4" fillId="9" borderId="0" xfId="0" applyNumberFormat="1" applyFont="1" applyFill="1" applyBorder="1" applyAlignment="1" applyProtection="1">
      <alignment horizontal="center"/>
      <protection hidden="1"/>
    </xf>
    <xf numFmtId="164" fontId="4" fillId="9" borderId="0" xfId="0" applyNumberFormat="1" applyFont="1" applyFill="1" applyBorder="1" applyAlignment="1" applyProtection="1">
      <alignment horizontal="center"/>
      <protection hidden="1"/>
    </xf>
    <xf numFmtId="164" fontId="5" fillId="9" borderId="0" xfId="0" applyFont="1" applyFill="1" applyBorder="1" applyAlignment="1" applyProtection="1">
      <alignment horizontal="center"/>
      <protection hidden="1"/>
    </xf>
    <xf numFmtId="164" fontId="5" fillId="9" borderId="7" xfId="0" applyFont="1" applyFill="1" applyBorder="1" applyAlignment="1" applyProtection="1">
      <alignment/>
      <protection hidden="1"/>
    </xf>
    <xf numFmtId="171" fontId="4" fillId="9" borderId="0" xfId="0" applyNumberFormat="1" applyFont="1" applyFill="1" applyBorder="1" applyAlignment="1" applyProtection="1">
      <alignment horizontal="center"/>
      <protection hidden="1"/>
    </xf>
    <xf numFmtId="164" fontId="0" fillId="9" borderId="28" xfId="0" applyFont="1" applyFill="1" applyBorder="1" applyAlignment="1" applyProtection="1">
      <alignment/>
      <protection hidden="1"/>
    </xf>
    <xf numFmtId="171" fontId="4" fillId="9" borderId="29" xfId="0" applyNumberFormat="1" applyFont="1" applyFill="1" applyBorder="1" applyAlignment="1" applyProtection="1">
      <alignment horizontal="center"/>
      <protection hidden="1"/>
    </xf>
    <xf numFmtId="164" fontId="5" fillId="9" borderId="29" xfId="0" applyNumberFormat="1" applyFont="1" applyFill="1" applyBorder="1" applyAlignment="1" applyProtection="1">
      <alignment horizontal="center"/>
      <protection hidden="1"/>
    </xf>
    <xf numFmtId="164" fontId="0" fillId="9" borderId="29" xfId="0" applyNumberFormat="1" applyFill="1" applyBorder="1" applyAlignment="1" applyProtection="1">
      <alignment horizontal="center"/>
      <protection hidden="1"/>
    </xf>
    <xf numFmtId="164" fontId="5" fillId="9" borderId="8" xfId="0" applyFont="1" applyFill="1" applyBorder="1" applyAlignment="1" applyProtection="1">
      <alignment/>
      <protection hidden="1"/>
    </xf>
    <xf numFmtId="164" fontId="8" fillId="4" borderId="7" xfId="0" applyFont="1" applyFill="1" applyBorder="1" applyAlignment="1" applyProtection="1">
      <alignment/>
      <protection hidden="1"/>
    </xf>
    <xf numFmtId="164" fontId="8" fillId="0" borderId="7" xfId="0" applyFont="1" applyBorder="1" applyAlignment="1" applyProtection="1">
      <alignment/>
      <protection hidden="1"/>
    </xf>
    <xf numFmtId="164" fontId="5" fillId="2" borderId="7" xfId="0" applyNumberFormat="1" applyFont="1" applyFill="1" applyBorder="1" applyAlignment="1" applyProtection="1">
      <alignment/>
      <protection hidden="1"/>
    </xf>
    <xf numFmtId="164" fontId="5" fillId="0" borderId="28" xfId="0" applyNumberFormat="1" applyFont="1" applyBorder="1" applyAlignment="1" applyProtection="1">
      <alignment/>
      <protection hidden="1"/>
    </xf>
    <xf numFmtId="174" fontId="88" fillId="0" borderId="29" xfId="0" applyNumberFormat="1" applyFont="1" applyFill="1" applyBorder="1" applyAlignment="1" applyProtection="1">
      <alignment horizontal="center"/>
      <protection hidden="1"/>
    </xf>
    <xf numFmtId="164" fontId="5" fillId="0" borderId="29" xfId="0" applyNumberFormat="1" applyFont="1" applyBorder="1" applyAlignment="1" applyProtection="1">
      <alignment horizontal="center"/>
      <protection hidden="1"/>
    </xf>
    <xf numFmtId="164" fontId="0" fillId="0" borderId="29" xfId="0" applyNumberFormat="1" applyBorder="1" applyAlignment="1" applyProtection="1">
      <alignment horizontal="center"/>
      <protection hidden="1"/>
    </xf>
    <xf numFmtId="164" fontId="5" fillId="2" borderId="7" xfId="0" applyFont="1" applyFill="1" applyBorder="1" applyAlignment="1" applyProtection="1">
      <alignment/>
      <protection hidden="1"/>
    </xf>
    <xf numFmtId="164" fontId="0" fillId="0" borderId="13" xfId="0" applyNumberFormat="1" applyFont="1" applyBorder="1" applyAlignment="1" applyProtection="1">
      <alignment/>
      <protection hidden="1"/>
    </xf>
    <xf numFmtId="164" fontId="8" fillId="4" borderId="7" xfId="0" applyNumberFormat="1" applyFont="1" applyFill="1" applyBorder="1" applyAlignment="1" applyProtection="1">
      <alignment/>
      <protection hidden="1"/>
    </xf>
    <xf numFmtId="164" fontId="0" fillId="0" borderId="28" xfId="0" applyNumberFormat="1" applyFont="1" applyBorder="1" applyAlignment="1" applyProtection="1">
      <alignment/>
      <protection hidden="1"/>
    </xf>
    <xf numFmtId="164" fontId="5" fillId="2" borderId="8" xfId="0" applyFont="1" applyFill="1" applyBorder="1" applyAlignment="1" applyProtection="1">
      <alignment/>
      <protection hidden="1"/>
    </xf>
    <xf numFmtId="174" fontId="17" fillId="0" borderId="0" xfId="0" applyNumberFormat="1" applyFont="1" applyFill="1" applyBorder="1" applyAlignment="1" applyProtection="1">
      <alignment horizontal="center"/>
      <protection hidden="1"/>
    </xf>
    <xf numFmtId="164" fontId="5" fillId="0" borderId="0" xfId="0" applyNumberFormat="1" applyFont="1" applyFill="1" applyBorder="1" applyAlignment="1" applyProtection="1">
      <alignment horizontal="center"/>
      <protection hidden="1"/>
    </xf>
    <xf numFmtId="164" fontId="10" fillId="0" borderId="0" xfId="0" applyFont="1" applyAlignment="1">
      <alignment/>
    </xf>
    <xf numFmtId="174" fontId="4" fillId="0" borderId="0" xfId="0" applyNumberFormat="1" applyFont="1" applyFill="1" applyBorder="1" applyAlignment="1" applyProtection="1">
      <alignment horizontal="center"/>
      <protection hidden="1"/>
    </xf>
    <xf numFmtId="164" fontId="17" fillId="0" borderId="0" xfId="0" applyNumberFormat="1" applyFont="1" applyFill="1" applyBorder="1" applyAlignment="1" applyProtection="1">
      <alignment horizontal="center"/>
      <protection hidden="1"/>
    </xf>
    <xf numFmtId="168" fontId="4" fillId="0" borderId="0" xfId="0" applyNumberFormat="1" applyFont="1" applyFill="1" applyBorder="1" applyAlignment="1" applyProtection="1">
      <alignment horizontal="center"/>
      <protection hidden="1"/>
    </xf>
    <xf numFmtId="168" fontId="17" fillId="0" borderId="0" xfId="0" applyNumberFormat="1" applyFont="1" applyFill="1" applyBorder="1" applyAlignment="1" applyProtection="1">
      <alignment horizontal="center"/>
      <protection hidden="1"/>
    </xf>
    <xf numFmtId="194" fontId="17" fillId="0" borderId="0" xfId="15" applyNumberFormat="1" applyFont="1" applyFill="1" applyBorder="1" applyAlignment="1" applyProtection="1">
      <alignment horizontal="center"/>
      <protection hidden="1"/>
    </xf>
    <xf numFmtId="164" fontId="0" fillId="0" borderId="13" xfId="0" applyFont="1" applyBorder="1" applyAlignment="1" applyProtection="1">
      <alignment/>
      <protection hidden="1"/>
    </xf>
    <xf numFmtId="171" fontId="4" fillId="0" borderId="29" xfId="0" applyNumberFormat="1" applyFont="1" applyFill="1" applyBorder="1" applyAlignment="1" applyProtection="1">
      <alignment horizontal="center"/>
      <protection hidden="1"/>
    </xf>
    <xf numFmtId="164" fontId="5" fillId="0" borderId="29" xfId="0" applyNumberFormat="1" applyFont="1" applyFill="1" applyBorder="1" applyAlignment="1" applyProtection="1">
      <alignment horizontal="center"/>
      <protection hidden="1"/>
    </xf>
    <xf numFmtId="164" fontId="5" fillId="0" borderId="13" xfId="0" applyFont="1" applyBorder="1" applyAlignment="1" applyProtection="1">
      <alignment/>
      <protection hidden="1"/>
    </xf>
    <xf numFmtId="164" fontId="5" fillId="0" borderId="29" xfId="0" applyFont="1" applyBorder="1" applyAlignment="1" applyProtection="1">
      <alignment horizontal="center"/>
      <protection hidden="1"/>
    </xf>
    <xf numFmtId="164" fontId="5" fillId="2" borderId="8" xfId="0" applyNumberFormat="1" applyFont="1" applyFill="1" applyBorder="1" applyAlignment="1" applyProtection="1">
      <alignment/>
      <protection hidden="1"/>
    </xf>
    <xf numFmtId="164" fontId="5" fillId="0" borderId="0" xfId="0" applyNumberFormat="1" applyFont="1" applyBorder="1" applyAlignment="1" applyProtection="1">
      <alignment/>
      <protection hidden="1"/>
    </xf>
  </cellXfs>
  <cellStyles count="11">
    <cellStyle name="Normal" xfId="0"/>
    <cellStyle name="Comma" xfId="15"/>
    <cellStyle name="Comma [0]" xfId="16"/>
    <cellStyle name="Currency" xfId="17"/>
    <cellStyle name="Currency [0]" xfId="18"/>
    <cellStyle name="Percent" xfId="19"/>
    <cellStyle name="Hyperlink" xfId="20"/>
    <cellStyle name="Milliers 2" xfId="21"/>
    <cellStyle name="Milliers_RC Expert Issy-les-Moulineaux (nettoyé)" xfId="22"/>
    <cellStyle name="Normal 2" xfId="23"/>
    <cellStyle name="Excel Built-in Normal" xfId="24"/>
  </cellStyles>
  <dxfs count="32">
    <dxf>
      <font>
        <b/>
        <i val="0"/>
        <sz val="11"/>
        <color rgb="FFFF0000"/>
      </font>
      <fill>
        <patternFill patternType="solid">
          <fgColor rgb="FF003300"/>
          <bgColor rgb="FF000000"/>
        </patternFill>
      </fill>
      <border/>
    </dxf>
    <dxf>
      <font>
        <b/>
        <i/>
        <sz val="11"/>
        <color rgb="FFFF0000"/>
      </font>
      <fill>
        <patternFill patternType="solid">
          <fgColor rgb="FF003300"/>
          <bgColor rgb="FF000000"/>
        </patternFill>
      </fill>
      <border/>
    </dxf>
    <dxf>
      <font>
        <b/>
        <i/>
        <sz val="11"/>
        <color rgb="FFFF00FF"/>
      </font>
      <fill>
        <patternFill patternType="solid">
          <fgColor rgb="FFFFFFCC"/>
          <bgColor rgb="FFFFFFFF"/>
        </patternFill>
      </fill>
      <border/>
    </dxf>
    <dxf>
      <font>
        <b val="0"/>
        <sz val="11"/>
        <color rgb="FF000000"/>
      </font>
      <fill>
        <patternFill patternType="solid">
          <fgColor rgb="FFC0C0C0"/>
          <bgColor rgb="FFFFCC99"/>
        </patternFill>
      </fill>
      <border/>
    </dxf>
    <dxf>
      <font>
        <b/>
        <i val="0"/>
        <sz val="11"/>
        <color rgb="FFFF0000"/>
      </font>
      <fill>
        <patternFill patternType="solid">
          <fgColor rgb="FF993300"/>
          <bgColor rgb="FFFF0000"/>
        </patternFill>
      </fill>
      <border/>
    </dxf>
    <dxf>
      <font>
        <b/>
        <i/>
        <sz val="11"/>
        <color rgb="FFFF00FF"/>
      </font>
      <border/>
    </dxf>
    <dxf>
      <font>
        <b/>
        <i val="0"/>
        <sz val="11"/>
        <color rgb="FF000000"/>
      </font>
      <fill>
        <patternFill patternType="solid">
          <fgColor rgb="FFFFFF00"/>
          <bgColor rgb="FFFFFF00"/>
        </patternFill>
      </fill>
      <border/>
    </dxf>
    <dxf>
      <font>
        <b val="0"/>
        <sz val="11"/>
        <color rgb="FFFF0000"/>
      </font>
      <border/>
    </dxf>
    <dxf>
      <font>
        <b val="0"/>
        <sz val="11"/>
        <color rgb="FF000000"/>
      </font>
      <fill>
        <patternFill patternType="solid">
          <fgColor rgb="FF808080"/>
          <bgColor rgb="FF969696"/>
        </patternFill>
      </fill>
      <border/>
    </dxf>
    <dxf>
      <font>
        <b/>
        <i val="0"/>
        <sz val="11"/>
        <color rgb="FFFF0000"/>
      </font>
      <border/>
    </dxf>
    <dxf>
      <font>
        <b/>
        <i val="0"/>
        <sz val="11"/>
        <color rgb="FF000000"/>
      </font>
      <fill>
        <patternFill patternType="solid">
          <fgColor rgb="FF993300"/>
          <bgColor rgb="FFFF0000"/>
        </patternFill>
      </fill>
      <border/>
    </dxf>
    <dxf>
      <font>
        <b/>
        <i val="0"/>
        <sz val="11"/>
        <color rgb="FFFF00FF"/>
      </font>
      <fill>
        <patternFill patternType="solid">
          <fgColor rgb="FFFFFFCC"/>
          <bgColor rgb="FFFFFFFF"/>
        </patternFill>
      </fill>
      <border/>
    </dxf>
    <dxf>
      <font>
        <b val="0"/>
        <sz val="11"/>
        <color rgb="FF000000"/>
      </font>
      <fill>
        <patternFill patternType="solid">
          <fgColor rgb="FF993300"/>
          <bgColor rgb="FFFF0000"/>
        </patternFill>
      </fill>
      <border/>
    </dxf>
    <dxf>
      <font>
        <b val="0"/>
        <sz val="11"/>
        <color rgb="FF000000"/>
      </font>
      <fill>
        <patternFill patternType="solid">
          <fgColor rgb="FFCCFFFF"/>
          <bgColor rgb="FFCCFFFF"/>
        </patternFill>
      </fill>
      <border/>
    </dxf>
    <dxf>
      <font>
        <b/>
        <i val="0"/>
        <sz val="11"/>
        <color rgb="FFFF00FF"/>
      </font>
      <border/>
    </dxf>
    <dxf>
      <font>
        <b val="0"/>
        <sz val="11"/>
        <color rgb="FFFFCC99"/>
      </font>
      <fill>
        <patternFill patternType="solid">
          <fgColor rgb="FFC0C0C0"/>
          <bgColor rgb="FFFFCC99"/>
        </patternFill>
      </fill>
      <border/>
    </dxf>
    <dxf>
      <font>
        <b val="0"/>
        <sz val="11"/>
        <color rgb="FFFF0000"/>
      </font>
      <fill>
        <patternFill patternType="solid">
          <fgColor rgb="FF003300"/>
          <bgColor rgb="FF000000"/>
        </patternFill>
      </fill>
      <border/>
    </dxf>
    <dxf>
      <font>
        <b val="0"/>
        <sz val="11"/>
        <color rgb="FF000000"/>
      </font>
      <fill>
        <patternFill patternType="solid">
          <fgColor rgb="FFFF8080"/>
          <bgColor rgb="FFFF99CC"/>
        </patternFill>
      </fill>
      <border/>
    </dxf>
    <dxf>
      <font>
        <b/>
        <i/>
        <sz val="11"/>
        <color rgb="FFFF00FF"/>
      </font>
      <fill>
        <patternFill patternType="none">
          <fgColor indexed="64"/>
          <bgColor indexed="65"/>
        </patternFill>
      </fill>
      <border/>
    </dxf>
    <dxf>
      <font>
        <b/>
        <i val="0"/>
        <sz val="11"/>
        <color rgb="FFFF0000"/>
      </font>
      <fill>
        <patternFill patternType="none">
          <fgColor indexed="64"/>
          <bgColor indexed="65"/>
        </patternFill>
      </fill>
      <border/>
    </dxf>
    <dxf>
      <font>
        <b/>
        <i/>
        <sz val="11"/>
        <color rgb="FF993300"/>
      </font>
      <fill>
        <patternFill patternType="solid">
          <fgColor rgb="FFFFFF00"/>
          <bgColor rgb="FFFFFF00"/>
        </patternFill>
      </fill>
      <border/>
    </dxf>
    <dxf>
      <font>
        <b/>
        <i/>
        <sz val="11"/>
        <color rgb="FFFFFF99"/>
      </font>
      <fill>
        <patternFill patternType="solid">
          <fgColor rgb="FF969696"/>
          <bgColor rgb="FF808080"/>
        </patternFill>
      </fill>
      <border/>
    </dxf>
    <dxf>
      <font>
        <b/>
        <i/>
        <sz val="11"/>
        <color rgb="FFFFFF00"/>
      </font>
      <fill>
        <patternFill patternType="solid">
          <fgColor rgb="FFFF9900"/>
          <bgColor rgb="FFFF6600"/>
        </patternFill>
      </fill>
      <border/>
    </dxf>
    <dxf>
      <font>
        <b val="0"/>
        <i/>
        <sz val="11"/>
        <color rgb="FFFF00FF"/>
      </font>
      <border/>
    </dxf>
    <dxf>
      <font>
        <b/>
        <i val="0"/>
        <sz val="11"/>
        <color rgb="FF800000"/>
      </font>
      <fill>
        <patternFill patternType="solid">
          <fgColor rgb="FFFFFF00"/>
          <bgColor rgb="FFFFFF00"/>
        </patternFill>
      </fill>
      <border/>
    </dxf>
    <dxf>
      <font>
        <b/>
        <i val="0"/>
        <sz val="11"/>
        <color rgb="FFFFFF99"/>
      </font>
      <fill>
        <patternFill patternType="solid">
          <fgColor rgb="FF969696"/>
          <bgColor rgb="FF808080"/>
        </patternFill>
      </fill>
      <border/>
    </dxf>
    <dxf>
      <font>
        <b/>
        <i val="0"/>
        <sz val="11"/>
        <color rgb="FFFFFF99"/>
      </font>
      <fill>
        <patternFill patternType="solid">
          <fgColor rgb="FFFF9900"/>
          <bgColor rgb="FFFF6600"/>
        </patternFill>
      </fill>
      <border/>
    </dxf>
    <dxf>
      <font>
        <b val="0"/>
        <sz val="11"/>
        <color rgb="FF000000"/>
      </font>
      <fill>
        <patternFill patternType="solid">
          <fgColor rgb="FFFFFF00"/>
          <bgColor rgb="FFFFFF00"/>
        </patternFill>
      </fill>
      <border/>
    </dxf>
    <dxf>
      <font>
        <b val="0"/>
        <sz val="11"/>
        <color rgb="FFFFFFFF"/>
      </font>
      <fill>
        <patternFill patternType="none">
          <fgColor indexed="64"/>
          <bgColor indexed="65"/>
        </patternFill>
      </fill>
      <border/>
    </dxf>
    <dxf>
      <font>
        <b val="0"/>
        <sz val="11"/>
        <color rgb="FF969696"/>
      </font>
      <fill>
        <patternFill patternType="solid">
          <fgColor rgb="FFCCCCFF"/>
          <bgColor rgb="FFC0C0C0"/>
        </patternFill>
      </fill>
      <border/>
    </dxf>
    <dxf>
      <font>
        <b val="0"/>
        <sz val="11"/>
        <color rgb="FFFFCC99"/>
      </font>
      <border/>
    </dxf>
    <dxf>
      <font>
        <b val="0"/>
        <sz val="11"/>
        <color rgb="FF000000"/>
      </font>
      <fill>
        <patternFill patternType="solid">
          <fgColor rgb="FFFFFFCC"/>
          <bgColor rgb="FFFFFF99"/>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1</xdr:col>
      <xdr:colOff>704850</xdr:colOff>
      <xdr:row>1</xdr:row>
      <xdr:rowOff>361950</xdr:rowOff>
    </xdr:to>
    <xdr:pic>
      <xdr:nvPicPr>
        <xdr:cNvPr id="1" name="Image 2"/>
        <xdr:cNvPicPr preferRelativeResize="1">
          <a:picLocks noChangeAspect="1"/>
        </xdr:cNvPicPr>
      </xdr:nvPicPr>
      <xdr:blipFill>
        <a:blip r:embed="rId1"/>
        <a:stretch>
          <a:fillRect/>
        </a:stretch>
      </xdr:blipFill>
      <xdr:spPr>
        <a:xfrm>
          <a:off x="0" y="38100"/>
          <a:ext cx="2038350" cy="561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ndochallenge@ffrandonnee.fr"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tiercelin.jean-luc.20@orange.fr" TargetMode="External" /><Relationship Id="rId2" Type="http://schemas.openxmlformats.org/officeDocument/2006/relationships/hyperlink" Target="mailto:gerard.draa@gmail.com" TargetMode="External" /><Relationship Id="rId3" Type="http://schemas.openxmlformats.org/officeDocument/2006/relationships/hyperlink" Target="mailto:aurelie.mialhe@neuf.fr" TargetMode="External" /><Relationship Id="rId4" Type="http://schemas.openxmlformats.org/officeDocument/2006/relationships/comments" Target="../comments3.xml" /><Relationship Id="rId5"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C33"/>
  <sheetViews>
    <sheetView zoomScale="90" zoomScaleNormal="90" zoomScaleSheetLayoutView="100" workbookViewId="0" topLeftCell="A1">
      <pane ySplit="10" topLeftCell="A22" activePane="bottomLeft" state="frozen"/>
      <selection pane="topLeft" activeCell="A1" sqref="A1"/>
      <selection pane="bottomLeft" activeCell="B24" sqref="B24"/>
    </sheetView>
  </sheetViews>
  <sheetFormatPr defaultColWidth="9.140625" defaultRowHeight="15"/>
  <cols>
    <col min="1" max="1" width="20.00390625" style="1" customWidth="1"/>
    <col min="2" max="2" width="88.140625" style="2" customWidth="1"/>
    <col min="3" max="16384" width="28.7109375" style="1" customWidth="1"/>
  </cols>
  <sheetData>
    <row r="1" spans="1:2" ht="18.75">
      <c r="A1" s="3"/>
      <c r="B1" s="4" t="s">
        <v>0</v>
      </c>
    </row>
    <row r="2" spans="1:2" ht="39" customHeight="1">
      <c r="A2" s="3"/>
      <c r="B2" s="5" t="s">
        <v>1</v>
      </c>
    </row>
    <row r="3" spans="1:3" ht="67.5" customHeight="1">
      <c r="A3" s="6" t="s">
        <v>2</v>
      </c>
      <c r="B3" s="6"/>
      <c r="C3" s="7"/>
    </row>
    <row r="4" spans="1:3" s="10" customFormat="1" ht="15">
      <c r="A4" s="8" t="s">
        <v>3</v>
      </c>
      <c r="B4" s="8"/>
      <c r="C4" s="9"/>
    </row>
    <row r="5" spans="1:3" s="10" customFormat="1" ht="15">
      <c r="A5" s="11" t="s">
        <v>4</v>
      </c>
      <c r="B5" s="11"/>
      <c r="C5" s="9"/>
    </row>
    <row r="6" spans="1:3" ht="15" customHeight="1">
      <c r="A6" s="12" t="s">
        <v>5</v>
      </c>
      <c r="B6" s="12"/>
      <c r="C6" s="7"/>
    </row>
    <row r="7" spans="1:3" ht="15" customHeight="1">
      <c r="A7" s="13" t="s">
        <v>6</v>
      </c>
      <c r="B7" s="13"/>
      <c r="C7" s="7"/>
    </row>
    <row r="8" spans="1:3" ht="15" customHeight="1">
      <c r="A8" s="14" t="s">
        <v>7</v>
      </c>
      <c r="B8" s="14"/>
      <c r="C8" s="7"/>
    </row>
    <row r="9" spans="1:3" ht="15" customHeight="1">
      <c r="A9" s="15" t="s">
        <v>8</v>
      </c>
      <c r="B9" s="15"/>
      <c r="C9" s="7"/>
    </row>
    <row r="10" spans="1:3" ht="15.75" customHeight="1">
      <c r="A10" s="16" t="s">
        <v>9</v>
      </c>
      <c r="B10" s="16"/>
      <c r="C10" s="7"/>
    </row>
    <row r="11" spans="1:3" ht="30">
      <c r="A11" s="17" t="s">
        <v>10</v>
      </c>
      <c r="B11" s="18" t="s">
        <v>11</v>
      </c>
      <c r="C11" s="7"/>
    </row>
    <row r="12" spans="1:3" ht="30">
      <c r="A12" s="17"/>
      <c r="B12" s="19" t="s">
        <v>12</v>
      </c>
      <c r="C12" s="7"/>
    </row>
    <row r="13" spans="1:3" ht="30.75">
      <c r="A13" s="17"/>
      <c r="B13" s="20" t="s">
        <v>13</v>
      </c>
      <c r="C13" s="7"/>
    </row>
    <row r="14" spans="1:3" ht="30">
      <c r="A14" s="17" t="s">
        <v>14</v>
      </c>
      <c r="B14" s="18" t="s">
        <v>15</v>
      </c>
      <c r="C14" s="7"/>
    </row>
    <row r="15" spans="1:3" ht="75">
      <c r="A15" s="17"/>
      <c r="B15" s="19" t="s">
        <v>16</v>
      </c>
      <c r="C15" s="7"/>
    </row>
    <row r="16" spans="1:3" ht="30.75">
      <c r="A16" s="17"/>
      <c r="B16" s="20" t="s">
        <v>17</v>
      </c>
      <c r="C16" s="7"/>
    </row>
    <row r="17" spans="1:3" ht="45">
      <c r="A17" s="17" t="s">
        <v>18</v>
      </c>
      <c r="B17" s="18" t="s">
        <v>19</v>
      </c>
      <c r="C17" s="7"/>
    </row>
    <row r="18" spans="1:3" ht="60">
      <c r="A18" s="17"/>
      <c r="B18" s="21" t="s">
        <v>20</v>
      </c>
      <c r="C18" s="7"/>
    </row>
    <row r="19" spans="1:3" ht="30">
      <c r="A19" s="17"/>
      <c r="B19" s="19" t="s">
        <v>21</v>
      </c>
      <c r="C19" s="7"/>
    </row>
    <row r="20" spans="1:3" ht="30.75">
      <c r="A20" s="17"/>
      <c r="B20" s="20" t="s">
        <v>22</v>
      </c>
      <c r="C20" s="7"/>
    </row>
    <row r="21" spans="1:3" ht="90.75">
      <c r="A21" s="22" t="s">
        <v>23</v>
      </c>
      <c r="B21" s="19" t="s">
        <v>24</v>
      </c>
      <c r="C21" s="7"/>
    </row>
    <row r="22" spans="1:3" ht="30">
      <c r="A22" s="22" t="s">
        <v>25</v>
      </c>
      <c r="B22" s="18" t="s">
        <v>26</v>
      </c>
      <c r="C22" s="7"/>
    </row>
    <row r="23" spans="1:3" ht="15">
      <c r="A23" s="22"/>
      <c r="B23" s="19" t="s">
        <v>27</v>
      </c>
      <c r="C23" s="7"/>
    </row>
    <row r="24" spans="1:3" ht="62.25" customHeight="1">
      <c r="A24" s="22"/>
      <c r="B24" s="23" t="s">
        <v>28</v>
      </c>
      <c r="C24" s="7"/>
    </row>
    <row r="25" spans="1:3" ht="51" customHeight="1">
      <c r="A25" s="22"/>
      <c r="B25" s="24" t="s">
        <v>29</v>
      </c>
      <c r="C25" s="7"/>
    </row>
    <row r="26" spans="1:3" ht="15">
      <c r="A26" s="17" t="s">
        <v>30</v>
      </c>
      <c r="B26" s="18" t="s">
        <v>31</v>
      </c>
      <c r="C26" s="7"/>
    </row>
    <row r="27" spans="1:3" ht="30">
      <c r="A27" s="17"/>
      <c r="B27" s="19" t="s">
        <v>32</v>
      </c>
      <c r="C27" s="7"/>
    </row>
    <row r="28" spans="1:3" ht="75.75">
      <c r="A28" s="17"/>
      <c r="B28" s="20" t="s">
        <v>33</v>
      </c>
      <c r="C28" s="7"/>
    </row>
    <row r="29" spans="1:3" ht="45.75">
      <c r="A29" s="25" t="s">
        <v>34</v>
      </c>
      <c r="B29" s="26" t="s">
        <v>35</v>
      </c>
      <c r="C29" s="7"/>
    </row>
    <row r="30" spans="1:3" s="29" customFormat="1" ht="15">
      <c r="A30" s="27" t="s">
        <v>36</v>
      </c>
      <c r="B30" s="27"/>
      <c r="C30" s="28"/>
    </row>
    <row r="31" spans="1:2" ht="15" customHeight="1">
      <c r="A31" s="30" t="s">
        <v>37</v>
      </c>
      <c r="B31" s="30"/>
    </row>
    <row r="32" spans="1:2" ht="15" customHeight="1">
      <c r="A32" s="31" t="s">
        <v>38</v>
      </c>
      <c r="B32" s="31"/>
    </row>
    <row r="33" spans="1:2" ht="57.75" customHeight="1">
      <c r="A33" s="32" t="s">
        <v>39</v>
      </c>
      <c r="B33" s="32"/>
    </row>
  </sheetData>
  <sheetProtection password="88A3" sheet="1" objects="1" scenarios="1"/>
  <mergeCells count="17">
    <mergeCell ref="A3:B3"/>
    <mergeCell ref="A4:B4"/>
    <mergeCell ref="A5:B5"/>
    <mergeCell ref="A6:B6"/>
    <mergeCell ref="A7:B7"/>
    <mergeCell ref="A8:B8"/>
    <mergeCell ref="A9:B9"/>
    <mergeCell ref="A10:B10"/>
    <mergeCell ref="A11:A13"/>
    <mergeCell ref="A14:A16"/>
    <mergeCell ref="A17:A20"/>
    <mergeCell ref="A22:A25"/>
    <mergeCell ref="A26:A28"/>
    <mergeCell ref="A30:B30"/>
    <mergeCell ref="A31:B31"/>
    <mergeCell ref="A32:B32"/>
    <mergeCell ref="A33:B33"/>
  </mergeCells>
  <hyperlinks>
    <hyperlink ref="A11" location="Parcours!B1" display="feuille  Parcours"/>
    <hyperlink ref="A14" location="Inscriptions!A4" display="feuille  Inscriptions"/>
    <hyperlink ref="A17" location="Départs!C4" display="feuille  Départs"/>
    <hyperlink ref="A21" location="Pénalités!A5" display="feuille émargement"/>
    <hyperlink ref="A22" location="Pénalités!A5" display="feuille Pénalités"/>
    <hyperlink ref="A26" location="Résultats!H2" display="feuille  Résultats"/>
    <hyperlink ref="A29" location="Classement!A2" display="feuille Classement"/>
    <hyperlink ref="A30" r:id="rId1" display="Pour toute remarque, contacter randochallenge@ffrandonnee.fr"/>
  </hyperlinks>
  <printOptions horizontalCentered="1"/>
  <pageMargins left="0.39375" right="0.39375" top="0.39375" bottom="0.5118055555555555" header="0.5118055555555555" footer="0.5118055555555555"/>
  <pageSetup fitToHeight="1" fitToWidth="1" horizontalDpi="300" verticalDpi="300" orientation="portrait" paperSize="9"/>
  <drawing r:id="rId2"/>
</worksheet>
</file>

<file path=xl/worksheets/sheet10.xml><?xml version="1.0" encoding="utf-8"?>
<worksheet xmlns="http://schemas.openxmlformats.org/spreadsheetml/2006/main" xmlns:r="http://schemas.openxmlformats.org/officeDocument/2006/relationships">
  <sheetPr>
    <pageSetUpPr fitToPage="1"/>
  </sheetPr>
  <dimension ref="A1:BO61"/>
  <sheetViews>
    <sheetView zoomScale="90" zoomScaleNormal="90" workbookViewId="0" topLeftCell="A1">
      <pane xSplit="4" ySplit="1" topLeftCell="E2" activePane="bottomRight" state="frozen"/>
      <selection pane="topLeft" activeCell="A1" sqref="A1"/>
      <selection pane="topRight" activeCell="E1" sqref="E1"/>
      <selection pane="bottomLeft" activeCell="A2" sqref="A2"/>
      <selection pane="bottomRight" activeCell="A1" sqref="A1"/>
    </sheetView>
  </sheetViews>
  <sheetFormatPr defaultColWidth="9.140625" defaultRowHeight="15"/>
  <cols>
    <col min="1" max="2" width="5.7109375" style="395" customWidth="1"/>
    <col min="3" max="3" width="7.140625" style="375" customWidth="1"/>
    <col min="4" max="4" width="5.421875" style="375" customWidth="1"/>
    <col min="5" max="64" width="3.7109375" style="396" customWidth="1"/>
    <col min="65" max="65" width="11.421875" style="395" customWidth="1"/>
    <col min="66" max="66" width="3.00390625" style="395" customWidth="1"/>
    <col min="67" max="16384" width="11.421875" style="395" customWidth="1"/>
  </cols>
  <sheetData>
    <row r="1" spans="1:64" ht="15.75">
      <c r="A1" s="397" t="s">
        <v>294</v>
      </c>
      <c r="B1" s="397" t="s">
        <v>295</v>
      </c>
      <c r="C1" s="397" t="s">
        <v>296</v>
      </c>
      <c r="D1" s="398" t="s">
        <v>297</v>
      </c>
      <c r="E1" s="399">
        <v>1</v>
      </c>
      <c r="F1" s="399">
        <v>2</v>
      </c>
      <c r="G1" s="399">
        <v>3</v>
      </c>
      <c r="H1" s="399">
        <v>4</v>
      </c>
      <c r="I1" s="399">
        <v>5</v>
      </c>
      <c r="J1" s="399">
        <v>6</v>
      </c>
      <c r="K1" s="399">
        <v>7</v>
      </c>
      <c r="L1" s="399">
        <v>8</v>
      </c>
      <c r="M1" s="399">
        <v>9</v>
      </c>
      <c r="N1" s="399">
        <v>10</v>
      </c>
      <c r="O1" s="399">
        <v>11</v>
      </c>
      <c r="P1" s="399">
        <v>12</v>
      </c>
      <c r="Q1" s="399">
        <v>13</v>
      </c>
      <c r="R1" s="399">
        <v>14</v>
      </c>
      <c r="S1" s="399">
        <v>15</v>
      </c>
      <c r="T1" s="400">
        <v>16</v>
      </c>
      <c r="U1" s="400">
        <v>17</v>
      </c>
      <c r="V1" s="400">
        <v>18</v>
      </c>
      <c r="W1" s="400">
        <v>19</v>
      </c>
      <c r="X1" s="400">
        <v>20</v>
      </c>
      <c r="Y1" s="400">
        <v>21</v>
      </c>
      <c r="Z1" s="400">
        <v>22</v>
      </c>
      <c r="AA1" s="400">
        <v>23</v>
      </c>
      <c r="AB1" s="400">
        <v>24</v>
      </c>
      <c r="AC1" s="400">
        <v>25</v>
      </c>
      <c r="AD1" s="400">
        <v>26</v>
      </c>
      <c r="AE1" s="400">
        <v>27</v>
      </c>
      <c r="AF1" s="400">
        <v>28</v>
      </c>
      <c r="AG1" s="400">
        <v>29</v>
      </c>
      <c r="AH1" s="400">
        <v>30</v>
      </c>
      <c r="AI1" s="400">
        <v>31</v>
      </c>
      <c r="AJ1" s="400">
        <v>32</v>
      </c>
      <c r="AK1" s="400">
        <v>33</v>
      </c>
      <c r="AL1" s="400">
        <v>34</v>
      </c>
      <c r="AM1" s="400">
        <v>35</v>
      </c>
      <c r="AN1" s="400">
        <v>36</v>
      </c>
      <c r="AO1" s="400">
        <v>37</v>
      </c>
      <c r="AP1" s="400">
        <v>38</v>
      </c>
      <c r="AQ1" s="400">
        <v>39</v>
      </c>
      <c r="AR1" s="400">
        <v>40</v>
      </c>
      <c r="AS1" s="400">
        <v>41</v>
      </c>
      <c r="AT1" s="400">
        <v>42</v>
      </c>
      <c r="AU1" s="400">
        <v>43</v>
      </c>
      <c r="AV1" s="400">
        <v>44</v>
      </c>
      <c r="AW1" s="400">
        <v>45</v>
      </c>
      <c r="AX1" s="400">
        <v>46</v>
      </c>
      <c r="AY1" s="400">
        <v>47</v>
      </c>
      <c r="AZ1" s="400">
        <v>48</v>
      </c>
      <c r="BA1" s="400">
        <v>49</v>
      </c>
      <c r="BB1" s="400">
        <v>50</v>
      </c>
      <c r="BC1" s="400">
        <v>51</v>
      </c>
      <c r="BD1" s="400">
        <v>52</v>
      </c>
      <c r="BE1" s="400">
        <v>53</v>
      </c>
      <c r="BF1" s="400">
        <v>54</v>
      </c>
      <c r="BG1" s="400">
        <v>55</v>
      </c>
      <c r="BH1" s="400">
        <v>56</v>
      </c>
      <c r="BI1" s="400">
        <v>57</v>
      </c>
      <c r="BJ1" s="400">
        <v>58</v>
      </c>
      <c r="BK1" s="400">
        <v>59</v>
      </c>
      <c r="BL1" s="400">
        <v>60</v>
      </c>
    </row>
    <row r="2" spans="1:67" ht="18.75">
      <c r="A2" s="401">
        <v>1</v>
      </c>
      <c r="B2" s="402">
        <v>1</v>
      </c>
      <c r="C2" s="403">
        <v>5</v>
      </c>
      <c r="D2" s="404">
        <v>30</v>
      </c>
      <c r="E2" s="405">
        <f aca="true" t="shared" si="0" ref="E2:E61">MAX($D2+E$1-15,$D2)</f>
        <v>30</v>
      </c>
      <c r="F2" s="405">
        <f aca="true" t="shared" si="1" ref="F2:F61">MAX($D2+F$1-15,$D2)</f>
        <v>30</v>
      </c>
      <c r="G2" s="405">
        <f aca="true" t="shared" si="2" ref="G2:G61">MAX($D2+G$1-15,$D2)</f>
        <v>30</v>
      </c>
      <c r="H2" s="405">
        <f aca="true" t="shared" si="3" ref="H2:H61">MAX($D2+H$1-15,$D2)</f>
        <v>30</v>
      </c>
      <c r="I2" s="405">
        <f aca="true" t="shared" si="4" ref="I2:I61">MAX($D2+I$1-15,$D2)</f>
        <v>30</v>
      </c>
      <c r="J2" s="405">
        <f aca="true" t="shared" si="5" ref="J2:J61">MAX($D2+J$1-15,$D2)</f>
        <v>30</v>
      </c>
      <c r="K2" s="405">
        <f aca="true" t="shared" si="6" ref="K2:K61">MAX($D2+K$1-15,$D2)</f>
        <v>30</v>
      </c>
      <c r="L2" s="405">
        <f aca="true" t="shared" si="7" ref="L2:L61">MAX($D2+L$1-15,$D2)</f>
        <v>30</v>
      </c>
      <c r="M2" s="405">
        <f aca="true" t="shared" si="8" ref="M2:M61">MAX($D2+M$1-15,$D2)</f>
        <v>30</v>
      </c>
      <c r="N2" s="405">
        <f aca="true" t="shared" si="9" ref="N2:N61">MAX($D2+N$1-15,$D2)</f>
        <v>30</v>
      </c>
      <c r="O2" s="405">
        <f aca="true" t="shared" si="10" ref="O2:O61">MAX($D2+O$1-15,$D2)</f>
        <v>30</v>
      </c>
      <c r="P2" s="405">
        <f aca="true" t="shared" si="11" ref="P2:P61">MAX($D2+P$1-15,$D2)</f>
        <v>30</v>
      </c>
      <c r="Q2" s="405">
        <f aca="true" t="shared" si="12" ref="Q2:Q61">MAX($D2+Q$1-15,$D2)</f>
        <v>30</v>
      </c>
      <c r="R2" s="405">
        <f aca="true" t="shared" si="13" ref="R2:R61">MAX($D2+R$1-15,$D2)</f>
        <v>30</v>
      </c>
      <c r="S2" s="406">
        <f aca="true" t="shared" si="14" ref="S2:S61">MAX($D2+S$1-15,$D2)</f>
        <v>30</v>
      </c>
      <c r="T2" s="396">
        <f aca="true" t="shared" si="15" ref="T2:T61">MAX($D2+T$1-15,$D2)</f>
        <v>31</v>
      </c>
      <c r="U2" s="396">
        <f aca="true" t="shared" si="16" ref="U2:U61">MAX($D2+U$1-15,$D2)</f>
        <v>32</v>
      </c>
      <c r="V2" s="396">
        <f aca="true" t="shared" si="17" ref="V2:V61">MAX($D2+V$1-15,$D2)</f>
        <v>33</v>
      </c>
      <c r="W2" s="396">
        <f aca="true" t="shared" si="18" ref="W2:W61">MAX($D2+W$1-15,$D2)</f>
        <v>34</v>
      </c>
      <c r="X2" s="396">
        <f aca="true" t="shared" si="19" ref="X2:X61">MAX($D2+X$1-15,$D2)</f>
        <v>35</v>
      </c>
      <c r="Y2" s="396">
        <f aca="true" t="shared" si="20" ref="Y2:Y61">MAX($D2+Y$1-15,$D2)</f>
        <v>36</v>
      </c>
      <c r="Z2" s="396">
        <f aca="true" t="shared" si="21" ref="Z2:Z61">MAX($D2+Z$1-15,$D2)</f>
        <v>37</v>
      </c>
      <c r="AA2" s="396">
        <f aca="true" t="shared" si="22" ref="AA2:AA61">MAX($D2+AA$1-15,$D2)</f>
        <v>38</v>
      </c>
      <c r="AB2" s="396">
        <f aca="true" t="shared" si="23" ref="AB2:AB61">MAX($D2+AB$1-15,$D2)</f>
        <v>39</v>
      </c>
      <c r="AC2" s="396">
        <f aca="true" t="shared" si="24" ref="AC2:AC61">MAX($D2+AC$1-15,$D2)</f>
        <v>40</v>
      </c>
      <c r="AD2" s="396">
        <f aca="true" t="shared" si="25" ref="AD2:AD61">MAX($D2+AD$1-15,$D2)</f>
        <v>41</v>
      </c>
      <c r="AE2" s="396">
        <f aca="true" t="shared" si="26" ref="AE2:AE61">MAX($D2+AE$1-15,$D2)</f>
        <v>42</v>
      </c>
      <c r="AF2" s="396">
        <f aca="true" t="shared" si="27" ref="AF2:AF61">MAX($D2+AF$1-15,$D2)</f>
        <v>43</v>
      </c>
      <c r="AG2" s="396">
        <f aca="true" t="shared" si="28" ref="AG2:AG61">MAX($D2+AG$1-15,$D2)</f>
        <v>44</v>
      </c>
      <c r="AH2" s="396">
        <f aca="true" t="shared" si="29" ref="AH2:AH61">MAX($D2+AH$1-15,$D2)</f>
        <v>45</v>
      </c>
      <c r="AI2" s="396">
        <f aca="true" t="shared" si="30" ref="AI2:AI61">MAX($D2+AI$1-15,$D2)</f>
        <v>46</v>
      </c>
      <c r="AJ2" s="396">
        <f aca="true" t="shared" si="31" ref="AJ2:AJ61">MAX($D2+AJ$1-15,$D2)</f>
        <v>47</v>
      </c>
      <c r="AK2" s="396">
        <f aca="true" t="shared" si="32" ref="AK2:AK61">MAX($D2+AK$1-15,$D2)</f>
        <v>48</v>
      </c>
      <c r="AL2" s="396">
        <f aca="true" t="shared" si="33" ref="AL2:AL61">MAX($D2+AL$1-15,$D2)</f>
        <v>49</v>
      </c>
      <c r="AM2" s="396">
        <f aca="true" t="shared" si="34" ref="AM2:AM61">MAX($D2+AM$1-15,$D2)</f>
        <v>50</v>
      </c>
      <c r="AN2" s="396">
        <f aca="true" t="shared" si="35" ref="AN2:AN61">MAX($D2+AN$1-15,$D2)</f>
        <v>51</v>
      </c>
      <c r="AO2" s="396">
        <f aca="true" t="shared" si="36" ref="AO2:AO61">MAX($D2+AO$1-15,$D2)</f>
        <v>52</v>
      </c>
      <c r="AP2" s="396">
        <f aca="true" t="shared" si="37" ref="AP2:AP61">MAX($D2+AP$1-15,$D2)</f>
        <v>53</v>
      </c>
      <c r="AQ2" s="396">
        <f aca="true" t="shared" si="38" ref="AQ2:AQ61">MAX($D2+AQ$1-15,$D2)</f>
        <v>54</v>
      </c>
      <c r="AR2" s="396">
        <f aca="true" t="shared" si="39" ref="AR2:AR61">MAX($D2+AR$1-15,$D2)</f>
        <v>55</v>
      </c>
      <c r="AS2" s="396">
        <f aca="true" t="shared" si="40" ref="AS2:AS61">MAX($D2+AS$1-15,$D2)</f>
        <v>56</v>
      </c>
      <c r="AT2" s="396">
        <f aca="true" t="shared" si="41" ref="AT2:AT61">MAX($D2+AT$1-15,$D2)</f>
        <v>57</v>
      </c>
      <c r="AU2" s="396">
        <f aca="true" t="shared" si="42" ref="AU2:AU61">MAX($D2+AU$1-15,$D2)</f>
        <v>58</v>
      </c>
      <c r="AV2" s="396">
        <f aca="true" t="shared" si="43" ref="AV2:AV61">MAX($D2+AV$1-15,$D2)</f>
        <v>59</v>
      </c>
      <c r="AW2" s="396">
        <f aca="true" t="shared" si="44" ref="AW2:AW61">MAX($D2+AW$1-15,$D2)</f>
        <v>60</v>
      </c>
      <c r="AX2" s="396">
        <f aca="true" t="shared" si="45" ref="AX2:AX61">MAX($D2+AX$1-15,$D2)</f>
        <v>61</v>
      </c>
      <c r="AY2" s="396">
        <f aca="true" t="shared" si="46" ref="AY2:AY61">MAX($D2+AY$1-15,$D2)</f>
        <v>62</v>
      </c>
      <c r="AZ2" s="396">
        <f aca="true" t="shared" si="47" ref="AZ2:AZ61">MAX($D2+AZ$1-15,$D2)</f>
        <v>63</v>
      </c>
      <c r="BA2" s="396">
        <f aca="true" t="shared" si="48" ref="BA2:BA61">MAX($D2+BA$1-15,$D2)</f>
        <v>64</v>
      </c>
      <c r="BB2" s="396">
        <f aca="true" t="shared" si="49" ref="BB2:BB61">MAX($D2+BB$1-15,$D2)</f>
        <v>65</v>
      </c>
      <c r="BC2" s="396">
        <f aca="true" t="shared" si="50" ref="BC2:BC61">MAX($D2+BC$1-15,$D2)</f>
        <v>66</v>
      </c>
      <c r="BD2" s="396">
        <f aca="true" t="shared" si="51" ref="BD2:BD61">MAX($D2+BD$1-15,$D2)</f>
        <v>67</v>
      </c>
      <c r="BE2" s="396">
        <f aca="true" t="shared" si="52" ref="BE2:BE61">MAX($D2+BE$1-15,$D2)</f>
        <v>68</v>
      </c>
      <c r="BF2" s="396">
        <f aca="true" t="shared" si="53" ref="BF2:BF61">MAX($D2+BF$1-15,$D2)</f>
        <v>69</v>
      </c>
      <c r="BG2" s="396">
        <f aca="true" t="shared" si="54" ref="BG2:BG61">MAX($D2+BG$1-15,$D2)</f>
        <v>70</v>
      </c>
      <c r="BH2" s="396">
        <f aca="true" t="shared" si="55" ref="BH2:BH61">MAX($D2+BH$1-15,$D2)</f>
        <v>71</v>
      </c>
      <c r="BI2" s="396">
        <f aca="true" t="shared" si="56" ref="BI2:BI61">MAX($D2+BI$1-15,$D2)</f>
        <v>72</v>
      </c>
      <c r="BJ2" s="396">
        <f aca="true" t="shared" si="57" ref="BJ2:BJ61">MAX($D2+BJ$1-15,$D2)</f>
        <v>73</v>
      </c>
      <c r="BK2" s="396">
        <f aca="true" t="shared" si="58" ref="BK2:BK61">MAX($D2+BK$1-15,$D2)</f>
        <v>74</v>
      </c>
      <c r="BL2" s="396">
        <f aca="true" t="shared" si="59" ref="BL2:BL61">MAX($D2+BL$1-15,$D2)</f>
        <v>75</v>
      </c>
      <c r="BM2" s="396" t="s">
        <v>298</v>
      </c>
      <c r="BN2" s="396">
        <f aca="true" t="shared" si="60" ref="BN2:BN4">D2-D3</f>
        <v>6</v>
      </c>
      <c r="BO2" s="407" t="s">
        <v>299</v>
      </c>
    </row>
    <row r="3" spans="1:66" ht="18.75">
      <c r="A3" s="408">
        <v>2</v>
      </c>
      <c r="B3" s="409">
        <f aca="true" t="shared" si="61" ref="B3:B61">+B2</f>
        <v>1</v>
      </c>
      <c r="C3" s="410">
        <v>5</v>
      </c>
      <c r="D3" s="411">
        <f aca="true" t="shared" si="62" ref="D3:D61">D2-C2-B2</f>
        <v>24</v>
      </c>
      <c r="E3" s="396">
        <f t="shared" si="0"/>
        <v>24</v>
      </c>
      <c r="F3" s="396">
        <f t="shared" si="1"/>
        <v>24</v>
      </c>
      <c r="G3" s="396">
        <f t="shared" si="2"/>
        <v>24</v>
      </c>
      <c r="H3" s="396">
        <f t="shared" si="3"/>
        <v>24</v>
      </c>
      <c r="I3" s="396">
        <f t="shared" si="4"/>
        <v>24</v>
      </c>
      <c r="J3" s="396">
        <f t="shared" si="5"/>
        <v>24</v>
      </c>
      <c r="K3" s="396">
        <f t="shared" si="6"/>
        <v>24</v>
      </c>
      <c r="L3" s="396">
        <f t="shared" si="7"/>
        <v>24</v>
      </c>
      <c r="M3" s="396">
        <f t="shared" si="8"/>
        <v>24</v>
      </c>
      <c r="N3" s="396">
        <f t="shared" si="9"/>
        <v>24</v>
      </c>
      <c r="O3" s="396">
        <f t="shared" si="10"/>
        <v>24</v>
      </c>
      <c r="P3" s="396">
        <f t="shared" si="11"/>
        <v>24</v>
      </c>
      <c r="Q3" s="396">
        <f t="shared" si="12"/>
        <v>24</v>
      </c>
      <c r="R3" s="396">
        <f t="shared" si="13"/>
        <v>24</v>
      </c>
      <c r="S3" s="412">
        <f t="shared" si="14"/>
        <v>24</v>
      </c>
      <c r="T3" s="396">
        <f t="shared" si="15"/>
        <v>25</v>
      </c>
      <c r="U3" s="396">
        <f t="shared" si="16"/>
        <v>26</v>
      </c>
      <c r="V3" s="396">
        <f t="shared" si="17"/>
        <v>27</v>
      </c>
      <c r="W3" s="396">
        <f t="shared" si="18"/>
        <v>28</v>
      </c>
      <c r="X3" s="396">
        <f t="shared" si="19"/>
        <v>29</v>
      </c>
      <c r="Y3" s="396">
        <f t="shared" si="20"/>
        <v>30</v>
      </c>
      <c r="Z3" s="396">
        <f t="shared" si="21"/>
        <v>31</v>
      </c>
      <c r="AA3" s="396">
        <f t="shared" si="22"/>
        <v>32</v>
      </c>
      <c r="AB3" s="396">
        <f t="shared" si="23"/>
        <v>33</v>
      </c>
      <c r="AC3" s="396">
        <f t="shared" si="24"/>
        <v>34</v>
      </c>
      <c r="AD3" s="396">
        <f t="shared" si="25"/>
        <v>35</v>
      </c>
      <c r="AE3" s="396">
        <f t="shared" si="26"/>
        <v>36</v>
      </c>
      <c r="AF3" s="396">
        <f t="shared" si="27"/>
        <v>37</v>
      </c>
      <c r="AG3" s="396">
        <f t="shared" si="28"/>
        <v>38</v>
      </c>
      <c r="AH3" s="396">
        <f t="shared" si="29"/>
        <v>39</v>
      </c>
      <c r="AI3" s="396">
        <f t="shared" si="30"/>
        <v>40</v>
      </c>
      <c r="AJ3" s="396">
        <f t="shared" si="31"/>
        <v>41</v>
      </c>
      <c r="AK3" s="396">
        <f t="shared" si="32"/>
        <v>42</v>
      </c>
      <c r="AL3" s="396">
        <f t="shared" si="33"/>
        <v>43</v>
      </c>
      <c r="AM3" s="396">
        <f t="shared" si="34"/>
        <v>44</v>
      </c>
      <c r="AN3" s="396">
        <f t="shared" si="35"/>
        <v>45</v>
      </c>
      <c r="AO3" s="396">
        <f t="shared" si="36"/>
        <v>46</v>
      </c>
      <c r="AP3" s="396">
        <f t="shared" si="37"/>
        <v>47</v>
      </c>
      <c r="AQ3" s="396">
        <f t="shared" si="38"/>
        <v>48</v>
      </c>
      <c r="AR3" s="396">
        <f t="shared" si="39"/>
        <v>49</v>
      </c>
      <c r="AS3" s="396">
        <f t="shared" si="40"/>
        <v>50</v>
      </c>
      <c r="AT3" s="396">
        <f t="shared" si="41"/>
        <v>51</v>
      </c>
      <c r="AU3" s="396">
        <f t="shared" si="42"/>
        <v>52</v>
      </c>
      <c r="AV3" s="396">
        <f t="shared" si="43"/>
        <v>53</v>
      </c>
      <c r="AW3" s="396">
        <f t="shared" si="44"/>
        <v>54</v>
      </c>
      <c r="AX3" s="396">
        <f t="shared" si="45"/>
        <v>55</v>
      </c>
      <c r="AY3" s="396">
        <f t="shared" si="46"/>
        <v>56</v>
      </c>
      <c r="AZ3" s="396">
        <f t="shared" si="47"/>
        <v>57</v>
      </c>
      <c r="BA3" s="396">
        <f t="shared" si="48"/>
        <v>58</v>
      </c>
      <c r="BB3" s="396">
        <f t="shared" si="49"/>
        <v>59</v>
      </c>
      <c r="BC3" s="396">
        <f t="shared" si="50"/>
        <v>60</v>
      </c>
      <c r="BD3" s="396">
        <f t="shared" si="51"/>
        <v>61</v>
      </c>
      <c r="BE3" s="396">
        <f t="shared" si="52"/>
        <v>62</v>
      </c>
      <c r="BF3" s="396">
        <f t="shared" si="53"/>
        <v>63</v>
      </c>
      <c r="BG3" s="396">
        <f t="shared" si="54"/>
        <v>64</v>
      </c>
      <c r="BH3" s="396">
        <f t="shared" si="55"/>
        <v>65</v>
      </c>
      <c r="BI3" s="396">
        <f t="shared" si="56"/>
        <v>66</v>
      </c>
      <c r="BJ3" s="396">
        <f t="shared" si="57"/>
        <v>67</v>
      </c>
      <c r="BK3" s="396">
        <f t="shared" si="58"/>
        <v>68</v>
      </c>
      <c r="BL3" s="396">
        <f t="shared" si="59"/>
        <v>69</v>
      </c>
      <c r="BM3" s="396" t="s">
        <v>300</v>
      </c>
      <c r="BN3" s="396">
        <f t="shared" si="60"/>
        <v>6</v>
      </c>
    </row>
    <row r="4" spans="1:66" ht="18.75">
      <c r="A4" s="408">
        <v>3</v>
      </c>
      <c r="B4" s="409">
        <f t="shared" si="61"/>
        <v>1</v>
      </c>
      <c r="C4" s="410">
        <v>5</v>
      </c>
      <c r="D4" s="411">
        <f t="shared" si="62"/>
        <v>18</v>
      </c>
      <c r="E4" s="396">
        <f t="shared" si="0"/>
        <v>18</v>
      </c>
      <c r="F4" s="396">
        <f t="shared" si="1"/>
        <v>18</v>
      </c>
      <c r="G4" s="396">
        <f t="shared" si="2"/>
        <v>18</v>
      </c>
      <c r="H4" s="396">
        <f t="shared" si="3"/>
        <v>18</v>
      </c>
      <c r="I4" s="396">
        <f t="shared" si="4"/>
        <v>18</v>
      </c>
      <c r="J4" s="396">
        <f t="shared" si="5"/>
        <v>18</v>
      </c>
      <c r="K4" s="396">
        <f t="shared" si="6"/>
        <v>18</v>
      </c>
      <c r="L4" s="396">
        <f t="shared" si="7"/>
        <v>18</v>
      </c>
      <c r="M4" s="396">
        <f t="shared" si="8"/>
        <v>18</v>
      </c>
      <c r="N4" s="396">
        <f t="shared" si="9"/>
        <v>18</v>
      </c>
      <c r="O4" s="396">
        <f t="shared" si="10"/>
        <v>18</v>
      </c>
      <c r="P4" s="396">
        <f t="shared" si="11"/>
        <v>18</v>
      </c>
      <c r="Q4" s="396">
        <f t="shared" si="12"/>
        <v>18</v>
      </c>
      <c r="R4" s="396">
        <f t="shared" si="13"/>
        <v>18</v>
      </c>
      <c r="S4" s="412">
        <f t="shared" si="14"/>
        <v>18</v>
      </c>
      <c r="T4" s="396">
        <f t="shared" si="15"/>
        <v>19</v>
      </c>
      <c r="U4" s="396">
        <f t="shared" si="16"/>
        <v>20</v>
      </c>
      <c r="V4" s="396">
        <f t="shared" si="17"/>
        <v>21</v>
      </c>
      <c r="W4" s="396">
        <f t="shared" si="18"/>
        <v>22</v>
      </c>
      <c r="X4" s="396">
        <f t="shared" si="19"/>
        <v>23</v>
      </c>
      <c r="Y4" s="396">
        <f t="shared" si="20"/>
        <v>24</v>
      </c>
      <c r="Z4" s="396">
        <f t="shared" si="21"/>
        <v>25</v>
      </c>
      <c r="AA4" s="396">
        <f t="shared" si="22"/>
        <v>26</v>
      </c>
      <c r="AB4" s="396">
        <f t="shared" si="23"/>
        <v>27</v>
      </c>
      <c r="AC4" s="396">
        <f t="shared" si="24"/>
        <v>28</v>
      </c>
      <c r="AD4" s="396">
        <f t="shared" si="25"/>
        <v>29</v>
      </c>
      <c r="AE4" s="396">
        <f t="shared" si="26"/>
        <v>30</v>
      </c>
      <c r="AF4" s="396">
        <f t="shared" si="27"/>
        <v>31</v>
      </c>
      <c r="AG4" s="396">
        <f t="shared" si="28"/>
        <v>32</v>
      </c>
      <c r="AH4" s="396">
        <f t="shared" si="29"/>
        <v>33</v>
      </c>
      <c r="AI4" s="396">
        <f t="shared" si="30"/>
        <v>34</v>
      </c>
      <c r="AJ4" s="396">
        <f t="shared" si="31"/>
        <v>35</v>
      </c>
      <c r="AK4" s="396">
        <f t="shared" si="32"/>
        <v>36</v>
      </c>
      <c r="AL4" s="396">
        <f t="shared" si="33"/>
        <v>37</v>
      </c>
      <c r="AM4" s="396">
        <f t="shared" si="34"/>
        <v>38</v>
      </c>
      <c r="AN4" s="396">
        <f t="shared" si="35"/>
        <v>39</v>
      </c>
      <c r="AO4" s="396">
        <f t="shared" si="36"/>
        <v>40</v>
      </c>
      <c r="AP4" s="396">
        <f t="shared" si="37"/>
        <v>41</v>
      </c>
      <c r="AQ4" s="396">
        <f t="shared" si="38"/>
        <v>42</v>
      </c>
      <c r="AR4" s="396">
        <f t="shared" si="39"/>
        <v>43</v>
      </c>
      <c r="AS4" s="396">
        <f t="shared" si="40"/>
        <v>44</v>
      </c>
      <c r="AT4" s="396">
        <f t="shared" si="41"/>
        <v>45</v>
      </c>
      <c r="AU4" s="396">
        <f t="shared" si="42"/>
        <v>46</v>
      </c>
      <c r="AV4" s="396">
        <f t="shared" si="43"/>
        <v>47</v>
      </c>
      <c r="AW4" s="396">
        <f t="shared" si="44"/>
        <v>48</v>
      </c>
      <c r="AX4" s="396">
        <f t="shared" si="45"/>
        <v>49</v>
      </c>
      <c r="AY4" s="396">
        <f t="shared" si="46"/>
        <v>50</v>
      </c>
      <c r="AZ4" s="396">
        <f t="shared" si="47"/>
        <v>51</v>
      </c>
      <c r="BA4" s="396">
        <f t="shared" si="48"/>
        <v>52</v>
      </c>
      <c r="BB4" s="396">
        <f t="shared" si="49"/>
        <v>53</v>
      </c>
      <c r="BC4" s="396">
        <f t="shared" si="50"/>
        <v>54</v>
      </c>
      <c r="BD4" s="396">
        <f t="shared" si="51"/>
        <v>55</v>
      </c>
      <c r="BE4" s="396">
        <f t="shared" si="52"/>
        <v>56</v>
      </c>
      <c r="BF4" s="396">
        <f t="shared" si="53"/>
        <v>57</v>
      </c>
      <c r="BG4" s="396">
        <f t="shared" si="54"/>
        <v>58</v>
      </c>
      <c r="BH4" s="396">
        <f t="shared" si="55"/>
        <v>59</v>
      </c>
      <c r="BI4" s="396">
        <f t="shared" si="56"/>
        <v>60</v>
      </c>
      <c r="BJ4" s="396">
        <f t="shared" si="57"/>
        <v>61</v>
      </c>
      <c r="BK4" s="396">
        <f t="shared" si="58"/>
        <v>62</v>
      </c>
      <c r="BL4" s="396">
        <f t="shared" si="59"/>
        <v>63</v>
      </c>
      <c r="BM4" s="396" t="s">
        <v>301</v>
      </c>
      <c r="BN4" s="396">
        <f t="shared" si="60"/>
        <v>6</v>
      </c>
    </row>
    <row r="5" spans="1:66" ht="15">
      <c r="A5" s="413">
        <v>4</v>
      </c>
      <c r="B5" s="409">
        <f t="shared" si="61"/>
        <v>1</v>
      </c>
      <c r="C5" s="386"/>
      <c r="D5" s="411">
        <f t="shared" si="62"/>
        <v>12</v>
      </c>
      <c r="E5" s="396">
        <f t="shared" si="0"/>
        <v>12</v>
      </c>
      <c r="F5" s="396">
        <f t="shared" si="1"/>
        <v>12</v>
      </c>
      <c r="G5" s="396">
        <f t="shared" si="2"/>
        <v>12</v>
      </c>
      <c r="H5" s="396">
        <f t="shared" si="3"/>
        <v>12</v>
      </c>
      <c r="I5" s="396">
        <f t="shared" si="4"/>
        <v>12</v>
      </c>
      <c r="J5" s="396">
        <f t="shared" si="5"/>
        <v>12</v>
      </c>
      <c r="K5" s="396">
        <f t="shared" si="6"/>
        <v>12</v>
      </c>
      <c r="L5" s="396">
        <f t="shared" si="7"/>
        <v>12</v>
      </c>
      <c r="M5" s="396">
        <f t="shared" si="8"/>
        <v>12</v>
      </c>
      <c r="N5" s="396">
        <f t="shared" si="9"/>
        <v>12</v>
      </c>
      <c r="O5" s="396">
        <f t="shared" si="10"/>
        <v>12</v>
      </c>
      <c r="P5" s="396">
        <f t="shared" si="11"/>
        <v>12</v>
      </c>
      <c r="Q5" s="396">
        <f t="shared" si="12"/>
        <v>12</v>
      </c>
      <c r="R5" s="396">
        <f t="shared" si="13"/>
        <v>12</v>
      </c>
      <c r="S5" s="412">
        <f t="shared" si="14"/>
        <v>12</v>
      </c>
      <c r="T5" s="396">
        <f t="shared" si="15"/>
        <v>13</v>
      </c>
      <c r="U5" s="396">
        <f t="shared" si="16"/>
        <v>14</v>
      </c>
      <c r="V5" s="396">
        <f t="shared" si="17"/>
        <v>15</v>
      </c>
      <c r="W5" s="396">
        <f t="shared" si="18"/>
        <v>16</v>
      </c>
      <c r="X5" s="396">
        <f t="shared" si="19"/>
        <v>17</v>
      </c>
      <c r="Y5" s="396">
        <f t="shared" si="20"/>
        <v>18</v>
      </c>
      <c r="Z5" s="396">
        <f t="shared" si="21"/>
        <v>19</v>
      </c>
      <c r="AA5" s="396">
        <f t="shared" si="22"/>
        <v>20</v>
      </c>
      <c r="AB5" s="396">
        <f t="shared" si="23"/>
        <v>21</v>
      </c>
      <c r="AC5" s="396">
        <f t="shared" si="24"/>
        <v>22</v>
      </c>
      <c r="AD5" s="396">
        <f t="shared" si="25"/>
        <v>23</v>
      </c>
      <c r="AE5" s="396">
        <f t="shared" si="26"/>
        <v>24</v>
      </c>
      <c r="AF5" s="396">
        <f t="shared" si="27"/>
        <v>25</v>
      </c>
      <c r="AG5" s="396">
        <f t="shared" si="28"/>
        <v>26</v>
      </c>
      <c r="AH5" s="396">
        <f t="shared" si="29"/>
        <v>27</v>
      </c>
      <c r="AI5" s="396">
        <f t="shared" si="30"/>
        <v>28</v>
      </c>
      <c r="AJ5" s="396">
        <f t="shared" si="31"/>
        <v>29</v>
      </c>
      <c r="AK5" s="396">
        <f t="shared" si="32"/>
        <v>30</v>
      </c>
      <c r="AL5" s="396">
        <f t="shared" si="33"/>
        <v>31</v>
      </c>
      <c r="AM5" s="396">
        <f t="shared" si="34"/>
        <v>32</v>
      </c>
      <c r="AN5" s="396">
        <f t="shared" si="35"/>
        <v>33</v>
      </c>
      <c r="AO5" s="396">
        <f t="shared" si="36"/>
        <v>34</v>
      </c>
      <c r="AP5" s="396">
        <f t="shared" si="37"/>
        <v>35</v>
      </c>
      <c r="AQ5" s="396">
        <f t="shared" si="38"/>
        <v>36</v>
      </c>
      <c r="AR5" s="396">
        <f t="shared" si="39"/>
        <v>37</v>
      </c>
      <c r="AS5" s="396">
        <f t="shared" si="40"/>
        <v>38</v>
      </c>
      <c r="AT5" s="396">
        <f t="shared" si="41"/>
        <v>39</v>
      </c>
      <c r="AU5" s="396">
        <f t="shared" si="42"/>
        <v>40</v>
      </c>
      <c r="AV5" s="396">
        <f t="shared" si="43"/>
        <v>41</v>
      </c>
      <c r="AW5" s="396">
        <f t="shared" si="44"/>
        <v>42</v>
      </c>
      <c r="AX5" s="396">
        <f t="shared" si="45"/>
        <v>43</v>
      </c>
      <c r="AY5" s="396">
        <f t="shared" si="46"/>
        <v>44</v>
      </c>
      <c r="AZ5" s="396">
        <f t="shared" si="47"/>
        <v>45</v>
      </c>
      <c r="BA5" s="396">
        <f t="shared" si="48"/>
        <v>46</v>
      </c>
      <c r="BB5" s="396">
        <f t="shared" si="49"/>
        <v>47</v>
      </c>
      <c r="BC5" s="396">
        <f t="shared" si="50"/>
        <v>48</v>
      </c>
      <c r="BD5" s="396">
        <f t="shared" si="51"/>
        <v>49</v>
      </c>
      <c r="BE5" s="396">
        <f t="shared" si="52"/>
        <v>50</v>
      </c>
      <c r="BF5" s="396">
        <f t="shared" si="53"/>
        <v>51</v>
      </c>
      <c r="BG5" s="396">
        <f t="shared" si="54"/>
        <v>52</v>
      </c>
      <c r="BH5" s="396">
        <f t="shared" si="55"/>
        <v>53</v>
      </c>
      <c r="BI5" s="396">
        <f t="shared" si="56"/>
        <v>54</v>
      </c>
      <c r="BJ5" s="396">
        <f t="shared" si="57"/>
        <v>55</v>
      </c>
      <c r="BK5" s="396">
        <f t="shared" si="58"/>
        <v>56</v>
      </c>
      <c r="BL5" s="396">
        <f t="shared" si="59"/>
        <v>57</v>
      </c>
      <c r="BM5" s="396" t="s">
        <v>302</v>
      </c>
      <c r="BN5" s="396">
        <f>équipes_partantes</f>
        <v>13</v>
      </c>
    </row>
    <row r="6" spans="1:64" ht="15">
      <c r="A6" s="413">
        <v>5</v>
      </c>
      <c r="B6" s="409">
        <f t="shared" si="61"/>
        <v>1</v>
      </c>
      <c r="C6" s="386"/>
      <c r="D6" s="411">
        <f t="shared" si="62"/>
        <v>11</v>
      </c>
      <c r="E6" s="396">
        <f t="shared" si="0"/>
        <v>11</v>
      </c>
      <c r="F6" s="396">
        <f t="shared" si="1"/>
        <v>11</v>
      </c>
      <c r="G6" s="396">
        <f t="shared" si="2"/>
        <v>11</v>
      </c>
      <c r="H6" s="396">
        <f t="shared" si="3"/>
        <v>11</v>
      </c>
      <c r="I6" s="396">
        <f t="shared" si="4"/>
        <v>11</v>
      </c>
      <c r="J6" s="396">
        <f t="shared" si="5"/>
        <v>11</v>
      </c>
      <c r="K6" s="396">
        <f t="shared" si="6"/>
        <v>11</v>
      </c>
      <c r="L6" s="396">
        <f t="shared" si="7"/>
        <v>11</v>
      </c>
      <c r="M6" s="396">
        <f t="shared" si="8"/>
        <v>11</v>
      </c>
      <c r="N6" s="396">
        <f t="shared" si="9"/>
        <v>11</v>
      </c>
      <c r="O6" s="396">
        <f t="shared" si="10"/>
        <v>11</v>
      </c>
      <c r="P6" s="396">
        <f t="shared" si="11"/>
        <v>11</v>
      </c>
      <c r="Q6" s="396">
        <f t="shared" si="12"/>
        <v>11</v>
      </c>
      <c r="R6" s="396">
        <f t="shared" si="13"/>
        <v>11</v>
      </c>
      <c r="S6" s="412">
        <f t="shared" si="14"/>
        <v>11</v>
      </c>
      <c r="T6" s="396">
        <f t="shared" si="15"/>
        <v>12</v>
      </c>
      <c r="U6" s="396">
        <f t="shared" si="16"/>
        <v>13</v>
      </c>
      <c r="V6" s="396">
        <f t="shared" si="17"/>
        <v>14</v>
      </c>
      <c r="W6" s="396">
        <f t="shared" si="18"/>
        <v>15</v>
      </c>
      <c r="X6" s="396">
        <f t="shared" si="19"/>
        <v>16</v>
      </c>
      <c r="Y6" s="396">
        <f t="shared" si="20"/>
        <v>17</v>
      </c>
      <c r="Z6" s="396">
        <f t="shared" si="21"/>
        <v>18</v>
      </c>
      <c r="AA6" s="396">
        <f t="shared" si="22"/>
        <v>19</v>
      </c>
      <c r="AB6" s="396">
        <f t="shared" si="23"/>
        <v>20</v>
      </c>
      <c r="AC6" s="396">
        <f t="shared" si="24"/>
        <v>21</v>
      </c>
      <c r="AD6" s="396">
        <f t="shared" si="25"/>
        <v>22</v>
      </c>
      <c r="AE6" s="396">
        <f t="shared" si="26"/>
        <v>23</v>
      </c>
      <c r="AF6" s="396">
        <f t="shared" si="27"/>
        <v>24</v>
      </c>
      <c r="AG6" s="396">
        <f t="shared" si="28"/>
        <v>25</v>
      </c>
      <c r="AH6" s="396">
        <f t="shared" si="29"/>
        <v>26</v>
      </c>
      <c r="AI6" s="396">
        <f t="shared" si="30"/>
        <v>27</v>
      </c>
      <c r="AJ6" s="396">
        <f t="shared" si="31"/>
        <v>28</v>
      </c>
      <c r="AK6" s="396">
        <f t="shared" si="32"/>
        <v>29</v>
      </c>
      <c r="AL6" s="396">
        <f t="shared" si="33"/>
        <v>30</v>
      </c>
      <c r="AM6" s="396">
        <f t="shared" si="34"/>
        <v>31</v>
      </c>
      <c r="AN6" s="396">
        <f t="shared" si="35"/>
        <v>32</v>
      </c>
      <c r="AO6" s="396">
        <f t="shared" si="36"/>
        <v>33</v>
      </c>
      <c r="AP6" s="396">
        <f t="shared" si="37"/>
        <v>34</v>
      </c>
      <c r="AQ6" s="396">
        <f t="shared" si="38"/>
        <v>35</v>
      </c>
      <c r="AR6" s="396">
        <f t="shared" si="39"/>
        <v>36</v>
      </c>
      <c r="AS6" s="396">
        <f t="shared" si="40"/>
        <v>37</v>
      </c>
      <c r="AT6" s="396">
        <f t="shared" si="41"/>
        <v>38</v>
      </c>
      <c r="AU6" s="396">
        <f t="shared" si="42"/>
        <v>39</v>
      </c>
      <c r="AV6" s="396">
        <f t="shared" si="43"/>
        <v>40</v>
      </c>
      <c r="AW6" s="396">
        <f t="shared" si="44"/>
        <v>41</v>
      </c>
      <c r="AX6" s="396">
        <f t="shared" si="45"/>
        <v>42</v>
      </c>
      <c r="AY6" s="396">
        <f t="shared" si="46"/>
        <v>43</v>
      </c>
      <c r="AZ6" s="396">
        <f t="shared" si="47"/>
        <v>44</v>
      </c>
      <c r="BA6" s="396">
        <f t="shared" si="48"/>
        <v>45</v>
      </c>
      <c r="BB6" s="396">
        <f t="shared" si="49"/>
        <v>46</v>
      </c>
      <c r="BC6" s="396">
        <f t="shared" si="50"/>
        <v>47</v>
      </c>
      <c r="BD6" s="396">
        <f t="shared" si="51"/>
        <v>48</v>
      </c>
      <c r="BE6" s="396">
        <f t="shared" si="52"/>
        <v>49</v>
      </c>
      <c r="BF6" s="396">
        <f t="shared" si="53"/>
        <v>50</v>
      </c>
      <c r="BG6" s="396">
        <f t="shared" si="54"/>
        <v>51</v>
      </c>
      <c r="BH6" s="396">
        <f t="shared" si="55"/>
        <v>52</v>
      </c>
      <c r="BI6" s="396">
        <f t="shared" si="56"/>
        <v>53</v>
      </c>
      <c r="BJ6" s="396">
        <f t="shared" si="57"/>
        <v>54</v>
      </c>
      <c r="BK6" s="396">
        <f t="shared" si="58"/>
        <v>55</v>
      </c>
      <c r="BL6" s="396">
        <f t="shared" si="59"/>
        <v>56</v>
      </c>
    </row>
    <row r="7" spans="1:64" ht="15">
      <c r="A7" s="413">
        <v>6</v>
      </c>
      <c r="B7" s="409">
        <f t="shared" si="61"/>
        <v>1</v>
      </c>
      <c r="C7" s="386"/>
      <c r="D7" s="411">
        <f t="shared" si="62"/>
        <v>10</v>
      </c>
      <c r="E7" s="396">
        <f t="shared" si="0"/>
        <v>10</v>
      </c>
      <c r="F7" s="396">
        <f t="shared" si="1"/>
        <v>10</v>
      </c>
      <c r="G7" s="396">
        <f t="shared" si="2"/>
        <v>10</v>
      </c>
      <c r="H7" s="396">
        <f t="shared" si="3"/>
        <v>10</v>
      </c>
      <c r="I7" s="396">
        <f t="shared" si="4"/>
        <v>10</v>
      </c>
      <c r="J7" s="396">
        <f t="shared" si="5"/>
        <v>10</v>
      </c>
      <c r="K7" s="396">
        <f t="shared" si="6"/>
        <v>10</v>
      </c>
      <c r="L7" s="396">
        <f t="shared" si="7"/>
        <v>10</v>
      </c>
      <c r="M7" s="396">
        <f t="shared" si="8"/>
        <v>10</v>
      </c>
      <c r="N7" s="396">
        <f t="shared" si="9"/>
        <v>10</v>
      </c>
      <c r="O7" s="396">
        <f t="shared" si="10"/>
        <v>10</v>
      </c>
      <c r="P7" s="396">
        <f t="shared" si="11"/>
        <v>10</v>
      </c>
      <c r="Q7" s="396">
        <f t="shared" si="12"/>
        <v>10</v>
      </c>
      <c r="R7" s="396">
        <f t="shared" si="13"/>
        <v>10</v>
      </c>
      <c r="S7" s="412">
        <f t="shared" si="14"/>
        <v>10</v>
      </c>
      <c r="T7" s="396">
        <f t="shared" si="15"/>
        <v>11</v>
      </c>
      <c r="U7" s="396">
        <f t="shared" si="16"/>
        <v>12</v>
      </c>
      <c r="V7" s="396">
        <f t="shared" si="17"/>
        <v>13</v>
      </c>
      <c r="W7" s="396">
        <f t="shared" si="18"/>
        <v>14</v>
      </c>
      <c r="X7" s="396">
        <f t="shared" si="19"/>
        <v>15</v>
      </c>
      <c r="Y7" s="396">
        <f t="shared" si="20"/>
        <v>16</v>
      </c>
      <c r="Z7" s="396">
        <f t="shared" si="21"/>
        <v>17</v>
      </c>
      <c r="AA7" s="396">
        <f t="shared" si="22"/>
        <v>18</v>
      </c>
      <c r="AB7" s="396">
        <f t="shared" si="23"/>
        <v>19</v>
      </c>
      <c r="AC7" s="396">
        <f t="shared" si="24"/>
        <v>20</v>
      </c>
      <c r="AD7" s="396">
        <f t="shared" si="25"/>
        <v>21</v>
      </c>
      <c r="AE7" s="396">
        <f t="shared" si="26"/>
        <v>22</v>
      </c>
      <c r="AF7" s="396">
        <f t="shared" si="27"/>
        <v>23</v>
      </c>
      <c r="AG7" s="396">
        <f t="shared" si="28"/>
        <v>24</v>
      </c>
      <c r="AH7" s="396">
        <f t="shared" si="29"/>
        <v>25</v>
      </c>
      <c r="AI7" s="396">
        <f t="shared" si="30"/>
        <v>26</v>
      </c>
      <c r="AJ7" s="396">
        <f t="shared" si="31"/>
        <v>27</v>
      </c>
      <c r="AK7" s="396">
        <f t="shared" si="32"/>
        <v>28</v>
      </c>
      <c r="AL7" s="396">
        <f t="shared" si="33"/>
        <v>29</v>
      </c>
      <c r="AM7" s="396">
        <f t="shared" si="34"/>
        <v>30</v>
      </c>
      <c r="AN7" s="396">
        <f t="shared" si="35"/>
        <v>31</v>
      </c>
      <c r="AO7" s="396">
        <f t="shared" si="36"/>
        <v>32</v>
      </c>
      <c r="AP7" s="396">
        <f t="shared" si="37"/>
        <v>33</v>
      </c>
      <c r="AQ7" s="396">
        <f t="shared" si="38"/>
        <v>34</v>
      </c>
      <c r="AR7" s="396">
        <f t="shared" si="39"/>
        <v>35</v>
      </c>
      <c r="AS7" s="396">
        <f t="shared" si="40"/>
        <v>36</v>
      </c>
      <c r="AT7" s="396">
        <f t="shared" si="41"/>
        <v>37</v>
      </c>
      <c r="AU7" s="396">
        <f t="shared" si="42"/>
        <v>38</v>
      </c>
      <c r="AV7" s="396">
        <f t="shared" si="43"/>
        <v>39</v>
      </c>
      <c r="AW7" s="396">
        <f t="shared" si="44"/>
        <v>40</v>
      </c>
      <c r="AX7" s="396">
        <f t="shared" si="45"/>
        <v>41</v>
      </c>
      <c r="AY7" s="396">
        <f t="shared" si="46"/>
        <v>42</v>
      </c>
      <c r="AZ7" s="396">
        <f t="shared" si="47"/>
        <v>43</v>
      </c>
      <c r="BA7" s="396">
        <f t="shared" si="48"/>
        <v>44</v>
      </c>
      <c r="BB7" s="396">
        <f t="shared" si="49"/>
        <v>45</v>
      </c>
      <c r="BC7" s="396">
        <f t="shared" si="50"/>
        <v>46</v>
      </c>
      <c r="BD7" s="396">
        <f t="shared" si="51"/>
        <v>47</v>
      </c>
      <c r="BE7" s="396">
        <f t="shared" si="52"/>
        <v>48</v>
      </c>
      <c r="BF7" s="396">
        <f t="shared" si="53"/>
        <v>49</v>
      </c>
      <c r="BG7" s="396">
        <f t="shared" si="54"/>
        <v>50</v>
      </c>
      <c r="BH7" s="396">
        <f t="shared" si="55"/>
        <v>51</v>
      </c>
      <c r="BI7" s="396">
        <f t="shared" si="56"/>
        <v>52</v>
      </c>
      <c r="BJ7" s="396">
        <f t="shared" si="57"/>
        <v>53</v>
      </c>
      <c r="BK7" s="396">
        <f t="shared" si="58"/>
        <v>54</v>
      </c>
      <c r="BL7" s="396">
        <f t="shared" si="59"/>
        <v>55</v>
      </c>
    </row>
    <row r="8" spans="1:64" ht="15">
      <c r="A8" s="413">
        <v>7</v>
      </c>
      <c r="B8" s="409">
        <f t="shared" si="61"/>
        <v>1</v>
      </c>
      <c r="C8" s="386"/>
      <c r="D8" s="411">
        <f t="shared" si="62"/>
        <v>9</v>
      </c>
      <c r="E8" s="396">
        <f t="shared" si="0"/>
        <v>9</v>
      </c>
      <c r="F8" s="396">
        <f t="shared" si="1"/>
        <v>9</v>
      </c>
      <c r="G8" s="396">
        <f t="shared" si="2"/>
        <v>9</v>
      </c>
      <c r="H8" s="396">
        <f t="shared" si="3"/>
        <v>9</v>
      </c>
      <c r="I8" s="396">
        <f t="shared" si="4"/>
        <v>9</v>
      </c>
      <c r="J8" s="396">
        <f t="shared" si="5"/>
        <v>9</v>
      </c>
      <c r="K8" s="396">
        <f t="shared" si="6"/>
        <v>9</v>
      </c>
      <c r="L8" s="396">
        <f t="shared" si="7"/>
        <v>9</v>
      </c>
      <c r="M8" s="396">
        <f t="shared" si="8"/>
        <v>9</v>
      </c>
      <c r="N8" s="396">
        <f t="shared" si="9"/>
        <v>9</v>
      </c>
      <c r="O8" s="396">
        <f t="shared" si="10"/>
        <v>9</v>
      </c>
      <c r="P8" s="396">
        <f t="shared" si="11"/>
        <v>9</v>
      </c>
      <c r="Q8" s="396">
        <f t="shared" si="12"/>
        <v>9</v>
      </c>
      <c r="R8" s="396">
        <f t="shared" si="13"/>
        <v>9</v>
      </c>
      <c r="S8" s="412">
        <f t="shared" si="14"/>
        <v>9</v>
      </c>
      <c r="T8" s="396">
        <f t="shared" si="15"/>
        <v>10</v>
      </c>
      <c r="U8" s="396">
        <f t="shared" si="16"/>
        <v>11</v>
      </c>
      <c r="V8" s="396">
        <f t="shared" si="17"/>
        <v>12</v>
      </c>
      <c r="W8" s="396">
        <f t="shared" si="18"/>
        <v>13</v>
      </c>
      <c r="X8" s="396">
        <f t="shared" si="19"/>
        <v>14</v>
      </c>
      <c r="Y8" s="396">
        <f t="shared" si="20"/>
        <v>15</v>
      </c>
      <c r="Z8" s="396">
        <f t="shared" si="21"/>
        <v>16</v>
      </c>
      <c r="AA8" s="396">
        <f t="shared" si="22"/>
        <v>17</v>
      </c>
      <c r="AB8" s="396">
        <f t="shared" si="23"/>
        <v>18</v>
      </c>
      <c r="AC8" s="396">
        <f t="shared" si="24"/>
        <v>19</v>
      </c>
      <c r="AD8" s="396">
        <f t="shared" si="25"/>
        <v>20</v>
      </c>
      <c r="AE8" s="396">
        <f t="shared" si="26"/>
        <v>21</v>
      </c>
      <c r="AF8" s="396">
        <f t="shared" si="27"/>
        <v>22</v>
      </c>
      <c r="AG8" s="396">
        <f t="shared" si="28"/>
        <v>23</v>
      </c>
      <c r="AH8" s="396">
        <f t="shared" si="29"/>
        <v>24</v>
      </c>
      <c r="AI8" s="396">
        <f t="shared" si="30"/>
        <v>25</v>
      </c>
      <c r="AJ8" s="396">
        <f t="shared" si="31"/>
        <v>26</v>
      </c>
      <c r="AK8" s="396">
        <f t="shared" si="32"/>
        <v>27</v>
      </c>
      <c r="AL8" s="396">
        <f t="shared" si="33"/>
        <v>28</v>
      </c>
      <c r="AM8" s="396">
        <f t="shared" si="34"/>
        <v>29</v>
      </c>
      <c r="AN8" s="396">
        <f t="shared" si="35"/>
        <v>30</v>
      </c>
      <c r="AO8" s="396">
        <f t="shared" si="36"/>
        <v>31</v>
      </c>
      <c r="AP8" s="396">
        <f t="shared" si="37"/>
        <v>32</v>
      </c>
      <c r="AQ8" s="396">
        <f t="shared" si="38"/>
        <v>33</v>
      </c>
      <c r="AR8" s="396">
        <f t="shared" si="39"/>
        <v>34</v>
      </c>
      <c r="AS8" s="396">
        <f t="shared" si="40"/>
        <v>35</v>
      </c>
      <c r="AT8" s="396">
        <f t="shared" si="41"/>
        <v>36</v>
      </c>
      <c r="AU8" s="396">
        <f t="shared" si="42"/>
        <v>37</v>
      </c>
      <c r="AV8" s="396">
        <f t="shared" si="43"/>
        <v>38</v>
      </c>
      <c r="AW8" s="396">
        <f t="shared" si="44"/>
        <v>39</v>
      </c>
      <c r="AX8" s="396">
        <f t="shared" si="45"/>
        <v>40</v>
      </c>
      <c r="AY8" s="396">
        <f t="shared" si="46"/>
        <v>41</v>
      </c>
      <c r="AZ8" s="396">
        <f t="shared" si="47"/>
        <v>42</v>
      </c>
      <c r="BA8" s="396">
        <f t="shared" si="48"/>
        <v>43</v>
      </c>
      <c r="BB8" s="396">
        <f t="shared" si="49"/>
        <v>44</v>
      </c>
      <c r="BC8" s="396">
        <f t="shared" si="50"/>
        <v>45</v>
      </c>
      <c r="BD8" s="396">
        <f t="shared" si="51"/>
        <v>46</v>
      </c>
      <c r="BE8" s="396">
        <f t="shared" si="52"/>
        <v>47</v>
      </c>
      <c r="BF8" s="396">
        <f t="shared" si="53"/>
        <v>48</v>
      </c>
      <c r="BG8" s="396">
        <f t="shared" si="54"/>
        <v>49</v>
      </c>
      <c r="BH8" s="396">
        <f t="shared" si="55"/>
        <v>50</v>
      </c>
      <c r="BI8" s="396">
        <f t="shared" si="56"/>
        <v>51</v>
      </c>
      <c r="BJ8" s="396">
        <f t="shared" si="57"/>
        <v>52</v>
      </c>
      <c r="BK8" s="396">
        <f t="shared" si="58"/>
        <v>53</v>
      </c>
      <c r="BL8" s="396">
        <f t="shared" si="59"/>
        <v>54</v>
      </c>
    </row>
    <row r="9" spans="1:64" ht="15">
      <c r="A9" s="413">
        <v>8</v>
      </c>
      <c r="B9" s="409">
        <f t="shared" si="61"/>
        <v>1</v>
      </c>
      <c r="C9" s="386"/>
      <c r="D9" s="411">
        <f t="shared" si="62"/>
        <v>8</v>
      </c>
      <c r="E9" s="396">
        <f t="shared" si="0"/>
        <v>8</v>
      </c>
      <c r="F9" s="396">
        <f t="shared" si="1"/>
        <v>8</v>
      </c>
      <c r="G9" s="396">
        <f t="shared" si="2"/>
        <v>8</v>
      </c>
      <c r="H9" s="396">
        <f t="shared" si="3"/>
        <v>8</v>
      </c>
      <c r="I9" s="396">
        <f t="shared" si="4"/>
        <v>8</v>
      </c>
      <c r="J9" s="396">
        <f t="shared" si="5"/>
        <v>8</v>
      </c>
      <c r="K9" s="396">
        <f t="shared" si="6"/>
        <v>8</v>
      </c>
      <c r="L9" s="396">
        <f t="shared" si="7"/>
        <v>8</v>
      </c>
      <c r="M9" s="396">
        <f t="shared" si="8"/>
        <v>8</v>
      </c>
      <c r="N9" s="396">
        <f t="shared" si="9"/>
        <v>8</v>
      </c>
      <c r="O9" s="396">
        <f t="shared" si="10"/>
        <v>8</v>
      </c>
      <c r="P9" s="396">
        <f t="shared" si="11"/>
        <v>8</v>
      </c>
      <c r="Q9" s="396">
        <f t="shared" si="12"/>
        <v>8</v>
      </c>
      <c r="R9" s="396">
        <f t="shared" si="13"/>
        <v>8</v>
      </c>
      <c r="S9" s="412">
        <f t="shared" si="14"/>
        <v>8</v>
      </c>
      <c r="T9" s="396">
        <f t="shared" si="15"/>
        <v>9</v>
      </c>
      <c r="U9" s="396">
        <f t="shared" si="16"/>
        <v>10</v>
      </c>
      <c r="V9" s="396">
        <f t="shared" si="17"/>
        <v>11</v>
      </c>
      <c r="W9" s="396">
        <f t="shared" si="18"/>
        <v>12</v>
      </c>
      <c r="X9" s="396">
        <f t="shared" si="19"/>
        <v>13</v>
      </c>
      <c r="Y9" s="396">
        <f t="shared" si="20"/>
        <v>14</v>
      </c>
      <c r="Z9" s="396">
        <f t="shared" si="21"/>
        <v>15</v>
      </c>
      <c r="AA9" s="396">
        <f t="shared" si="22"/>
        <v>16</v>
      </c>
      <c r="AB9" s="396">
        <f t="shared" si="23"/>
        <v>17</v>
      </c>
      <c r="AC9" s="396">
        <f t="shared" si="24"/>
        <v>18</v>
      </c>
      <c r="AD9" s="396">
        <f t="shared" si="25"/>
        <v>19</v>
      </c>
      <c r="AE9" s="396">
        <f t="shared" si="26"/>
        <v>20</v>
      </c>
      <c r="AF9" s="396">
        <f t="shared" si="27"/>
        <v>21</v>
      </c>
      <c r="AG9" s="396">
        <f t="shared" si="28"/>
        <v>22</v>
      </c>
      <c r="AH9" s="396">
        <f t="shared" si="29"/>
        <v>23</v>
      </c>
      <c r="AI9" s="396">
        <f t="shared" si="30"/>
        <v>24</v>
      </c>
      <c r="AJ9" s="396">
        <f t="shared" si="31"/>
        <v>25</v>
      </c>
      <c r="AK9" s="396">
        <f t="shared" si="32"/>
        <v>26</v>
      </c>
      <c r="AL9" s="396">
        <f t="shared" si="33"/>
        <v>27</v>
      </c>
      <c r="AM9" s="396">
        <f t="shared" si="34"/>
        <v>28</v>
      </c>
      <c r="AN9" s="396">
        <f t="shared" si="35"/>
        <v>29</v>
      </c>
      <c r="AO9" s="396">
        <f t="shared" si="36"/>
        <v>30</v>
      </c>
      <c r="AP9" s="396">
        <f t="shared" si="37"/>
        <v>31</v>
      </c>
      <c r="AQ9" s="396">
        <f t="shared" si="38"/>
        <v>32</v>
      </c>
      <c r="AR9" s="396">
        <f t="shared" si="39"/>
        <v>33</v>
      </c>
      <c r="AS9" s="396">
        <f t="shared" si="40"/>
        <v>34</v>
      </c>
      <c r="AT9" s="396">
        <f t="shared" si="41"/>
        <v>35</v>
      </c>
      <c r="AU9" s="396">
        <f t="shared" si="42"/>
        <v>36</v>
      </c>
      <c r="AV9" s="396">
        <f t="shared" si="43"/>
        <v>37</v>
      </c>
      <c r="AW9" s="396">
        <f t="shared" si="44"/>
        <v>38</v>
      </c>
      <c r="AX9" s="396">
        <f t="shared" si="45"/>
        <v>39</v>
      </c>
      <c r="AY9" s="396">
        <f t="shared" si="46"/>
        <v>40</v>
      </c>
      <c r="AZ9" s="396">
        <f t="shared" si="47"/>
        <v>41</v>
      </c>
      <c r="BA9" s="396">
        <f t="shared" si="48"/>
        <v>42</v>
      </c>
      <c r="BB9" s="396">
        <f t="shared" si="49"/>
        <v>43</v>
      </c>
      <c r="BC9" s="396">
        <f t="shared" si="50"/>
        <v>44</v>
      </c>
      <c r="BD9" s="396">
        <f t="shared" si="51"/>
        <v>45</v>
      </c>
      <c r="BE9" s="396">
        <f t="shared" si="52"/>
        <v>46</v>
      </c>
      <c r="BF9" s="396">
        <f t="shared" si="53"/>
        <v>47</v>
      </c>
      <c r="BG9" s="396">
        <f t="shared" si="54"/>
        <v>48</v>
      </c>
      <c r="BH9" s="396">
        <f t="shared" si="55"/>
        <v>49</v>
      </c>
      <c r="BI9" s="396">
        <f t="shared" si="56"/>
        <v>50</v>
      </c>
      <c r="BJ9" s="396">
        <f t="shared" si="57"/>
        <v>51</v>
      </c>
      <c r="BK9" s="396">
        <f t="shared" si="58"/>
        <v>52</v>
      </c>
      <c r="BL9" s="396">
        <f t="shared" si="59"/>
        <v>53</v>
      </c>
    </row>
    <row r="10" spans="1:64" ht="15">
      <c r="A10" s="413">
        <v>9</v>
      </c>
      <c r="B10" s="409">
        <f t="shared" si="61"/>
        <v>1</v>
      </c>
      <c r="C10" s="386"/>
      <c r="D10" s="411">
        <f t="shared" si="62"/>
        <v>7</v>
      </c>
      <c r="E10" s="396">
        <f t="shared" si="0"/>
        <v>7</v>
      </c>
      <c r="F10" s="396">
        <f t="shared" si="1"/>
        <v>7</v>
      </c>
      <c r="G10" s="396">
        <f t="shared" si="2"/>
        <v>7</v>
      </c>
      <c r="H10" s="396">
        <f t="shared" si="3"/>
        <v>7</v>
      </c>
      <c r="I10" s="396">
        <f t="shared" si="4"/>
        <v>7</v>
      </c>
      <c r="J10" s="396">
        <f t="shared" si="5"/>
        <v>7</v>
      </c>
      <c r="K10" s="396">
        <f t="shared" si="6"/>
        <v>7</v>
      </c>
      <c r="L10" s="396">
        <f t="shared" si="7"/>
        <v>7</v>
      </c>
      <c r="M10" s="396">
        <f t="shared" si="8"/>
        <v>7</v>
      </c>
      <c r="N10" s="396">
        <f t="shared" si="9"/>
        <v>7</v>
      </c>
      <c r="O10" s="396">
        <f t="shared" si="10"/>
        <v>7</v>
      </c>
      <c r="P10" s="396">
        <f t="shared" si="11"/>
        <v>7</v>
      </c>
      <c r="Q10" s="396">
        <f t="shared" si="12"/>
        <v>7</v>
      </c>
      <c r="R10" s="396">
        <f t="shared" si="13"/>
        <v>7</v>
      </c>
      <c r="S10" s="412">
        <f t="shared" si="14"/>
        <v>7</v>
      </c>
      <c r="T10" s="396">
        <f t="shared" si="15"/>
        <v>8</v>
      </c>
      <c r="U10" s="396">
        <f t="shared" si="16"/>
        <v>9</v>
      </c>
      <c r="V10" s="396">
        <f t="shared" si="17"/>
        <v>10</v>
      </c>
      <c r="W10" s="396">
        <f t="shared" si="18"/>
        <v>11</v>
      </c>
      <c r="X10" s="396">
        <f t="shared" si="19"/>
        <v>12</v>
      </c>
      <c r="Y10" s="396">
        <f t="shared" si="20"/>
        <v>13</v>
      </c>
      <c r="Z10" s="396">
        <f t="shared" si="21"/>
        <v>14</v>
      </c>
      <c r="AA10" s="396">
        <f t="shared" si="22"/>
        <v>15</v>
      </c>
      <c r="AB10" s="396">
        <f t="shared" si="23"/>
        <v>16</v>
      </c>
      <c r="AC10" s="396">
        <f t="shared" si="24"/>
        <v>17</v>
      </c>
      <c r="AD10" s="396">
        <f t="shared" si="25"/>
        <v>18</v>
      </c>
      <c r="AE10" s="396">
        <f t="shared" si="26"/>
        <v>19</v>
      </c>
      <c r="AF10" s="396">
        <f t="shared" si="27"/>
        <v>20</v>
      </c>
      <c r="AG10" s="396">
        <f t="shared" si="28"/>
        <v>21</v>
      </c>
      <c r="AH10" s="396">
        <f t="shared" si="29"/>
        <v>22</v>
      </c>
      <c r="AI10" s="396">
        <f t="shared" si="30"/>
        <v>23</v>
      </c>
      <c r="AJ10" s="396">
        <f t="shared" si="31"/>
        <v>24</v>
      </c>
      <c r="AK10" s="396">
        <f t="shared" si="32"/>
        <v>25</v>
      </c>
      <c r="AL10" s="396">
        <f t="shared" si="33"/>
        <v>26</v>
      </c>
      <c r="AM10" s="396">
        <f t="shared" si="34"/>
        <v>27</v>
      </c>
      <c r="AN10" s="396">
        <f t="shared" si="35"/>
        <v>28</v>
      </c>
      <c r="AO10" s="396">
        <f t="shared" si="36"/>
        <v>29</v>
      </c>
      <c r="AP10" s="396">
        <f t="shared" si="37"/>
        <v>30</v>
      </c>
      <c r="AQ10" s="396">
        <f t="shared" si="38"/>
        <v>31</v>
      </c>
      <c r="AR10" s="396">
        <f t="shared" si="39"/>
        <v>32</v>
      </c>
      <c r="AS10" s="396">
        <f t="shared" si="40"/>
        <v>33</v>
      </c>
      <c r="AT10" s="396">
        <f t="shared" si="41"/>
        <v>34</v>
      </c>
      <c r="AU10" s="396">
        <f t="shared" si="42"/>
        <v>35</v>
      </c>
      <c r="AV10" s="396">
        <f t="shared" si="43"/>
        <v>36</v>
      </c>
      <c r="AW10" s="396">
        <f t="shared" si="44"/>
        <v>37</v>
      </c>
      <c r="AX10" s="396">
        <f t="shared" si="45"/>
        <v>38</v>
      </c>
      <c r="AY10" s="396">
        <f t="shared" si="46"/>
        <v>39</v>
      </c>
      <c r="AZ10" s="396">
        <f t="shared" si="47"/>
        <v>40</v>
      </c>
      <c r="BA10" s="396">
        <f t="shared" si="48"/>
        <v>41</v>
      </c>
      <c r="BB10" s="396">
        <f t="shared" si="49"/>
        <v>42</v>
      </c>
      <c r="BC10" s="396">
        <f t="shared" si="50"/>
        <v>43</v>
      </c>
      <c r="BD10" s="396">
        <f t="shared" si="51"/>
        <v>44</v>
      </c>
      <c r="BE10" s="396">
        <f t="shared" si="52"/>
        <v>45</v>
      </c>
      <c r="BF10" s="396">
        <f t="shared" si="53"/>
        <v>46</v>
      </c>
      <c r="BG10" s="396">
        <f t="shared" si="54"/>
        <v>47</v>
      </c>
      <c r="BH10" s="396">
        <f t="shared" si="55"/>
        <v>48</v>
      </c>
      <c r="BI10" s="396">
        <f t="shared" si="56"/>
        <v>49</v>
      </c>
      <c r="BJ10" s="396">
        <f t="shared" si="57"/>
        <v>50</v>
      </c>
      <c r="BK10" s="396">
        <f t="shared" si="58"/>
        <v>51</v>
      </c>
      <c r="BL10" s="396">
        <f t="shared" si="59"/>
        <v>52</v>
      </c>
    </row>
    <row r="11" spans="1:64" ht="15">
      <c r="A11" s="413">
        <v>10</v>
      </c>
      <c r="B11" s="409">
        <f t="shared" si="61"/>
        <v>1</v>
      </c>
      <c r="C11" s="386"/>
      <c r="D11" s="411">
        <f t="shared" si="62"/>
        <v>6</v>
      </c>
      <c r="E11" s="396">
        <f t="shared" si="0"/>
        <v>6</v>
      </c>
      <c r="F11" s="396">
        <f t="shared" si="1"/>
        <v>6</v>
      </c>
      <c r="G11" s="396">
        <f t="shared" si="2"/>
        <v>6</v>
      </c>
      <c r="H11" s="396">
        <f t="shared" si="3"/>
        <v>6</v>
      </c>
      <c r="I11" s="396">
        <f t="shared" si="4"/>
        <v>6</v>
      </c>
      <c r="J11" s="396">
        <f t="shared" si="5"/>
        <v>6</v>
      </c>
      <c r="K11" s="396">
        <f t="shared" si="6"/>
        <v>6</v>
      </c>
      <c r="L11" s="396">
        <f t="shared" si="7"/>
        <v>6</v>
      </c>
      <c r="M11" s="396">
        <f t="shared" si="8"/>
        <v>6</v>
      </c>
      <c r="N11" s="396">
        <f t="shared" si="9"/>
        <v>6</v>
      </c>
      <c r="O11" s="396">
        <f t="shared" si="10"/>
        <v>6</v>
      </c>
      <c r="P11" s="396">
        <f t="shared" si="11"/>
        <v>6</v>
      </c>
      <c r="Q11" s="396">
        <f t="shared" si="12"/>
        <v>6</v>
      </c>
      <c r="R11" s="396">
        <f t="shared" si="13"/>
        <v>6</v>
      </c>
      <c r="S11" s="412">
        <f t="shared" si="14"/>
        <v>6</v>
      </c>
      <c r="T11" s="396">
        <f t="shared" si="15"/>
        <v>7</v>
      </c>
      <c r="U11" s="396">
        <f t="shared" si="16"/>
        <v>8</v>
      </c>
      <c r="V11" s="396">
        <f t="shared" si="17"/>
        <v>9</v>
      </c>
      <c r="W11" s="396">
        <f t="shared" si="18"/>
        <v>10</v>
      </c>
      <c r="X11" s="396">
        <f t="shared" si="19"/>
        <v>11</v>
      </c>
      <c r="Y11" s="396">
        <f t="shared" si="20"/>
        <v>12</v>
      </c>
      <c r="Z11" s="396">
        <f t="shared" si="21"/>
        <v>13</v>
      </c>
      <c r="AA11" s="396">
        <f t="shared" si="22"/>
        <v>14</v>
      </c>
      <c r="AB11" s="396">
        <f t="shared" si="23"/>
        <v>15</v>
      </c>
      <c r="AC11" s="396">
        <f t="shared" si="24"/>
        <v>16</v>
      </c>
      <c r="AD11" s="396">
        <f t="shared" si="25"/>
        <v>17</v>
      </c>
      <c r="AE11" s="396">
        <f t="shared" si="26"/>
        <v>18</v>
      </c>
      <c r="AF11" s="396">
        <f t="shared" si="27"/>
        <v>19</v>
      </c>
      <c r="AG11" s="396">
        <f t="shared" si="28"/>
        <v>20</v>
      </c>
      <c r="AH11" s="396">
        <f t="shared" si="29"/>
        <v>21</v>
      </c>
      <c r="AI11" s="396">
        <f t="shared" si="30"/>
        <v>22</v>
      </c>
      <c r="AJ11" s="396">
        <f t="shared" si="31"/>
        <v>23</v>
      </c>
      <c r="AK11" s="396">
        <f t="shared" si="32"/>
        <v>24</v>
      </c>
      <c r="AL11" s="396">
        <f t="shared" si="33"/>
        <v>25</v>
      </c>
      <c r="AM11" s="396">
        <f t="shared" si="34"/>
        <v>26</v>
      </c>
      <c r="AN11" s="396">
        <f t="shared" si="35"/>
        <v>27</v>
      </c>
      <c r="AO11" s="396">
        <f t="shared" si="36"/>
        <v>28</v>
      </c>
      <c r="AP11" s="396">
        <f t="shared" si="37"/>
        <v>29</v>
      </c>
      <c r="AQ11" s="396">
        <f t="shared" si="38"/>
        <v>30</v>
      </c>
      <c r="AR11" s="396">
        <f t="shared" si="39"/>
        <v>31</v>
      </c>
      <c r="AS11" s="396">
        <f t="shared" si="40"/>
        <v>32</v>
      </c>
      <c r="AT11" s="396">
        <f t="shared" si="41"/>
        <v>33</v>
      </c>
      <c r="AU11" s="396">
        <f t="shared" si="42"/>
        <v>34</v>
      </c>
      <c r="AV11" s="396">
        <f t="shared" si="43"/>
        <v>35</v>
      </c>
      <c r="AW11" s="396">
        <f t="shared" si="44"/>
        <v>36</v>
      </c>
      <c r="AX11" s="396">
        <f t="shared" si="45"/>
        <v>37</v>
      </c>
      <c r="AY11" s="396">
        <f t="shared" si="46"/>
        <v>38</v>
      </c>
      <c r="AZ11" s="396">
        <f t="shared" si="47"/>
        <v>39</v>
      </c>
      <c r="BA11" s="396">
        <f t="shared" si="48"/>
        <v>40</v>
      </c>
      <c r="BB11" s="396">
        <f t="shared" si="49"/>
        <v>41</v>
      </c>
      <c r="BC11" s="396">
        <f t="shared" si="50"/>
        <v>42</v>
      </c>
      <c r="BD11" s="396">
        <f t="shared" si="51"/>
        <v>43</v>
      </c>
      <c r="BE11" s="396">
        <f t="shared" si="52"/>
        <v>44</v>
      </c>
      <c r="BF11" s="396">
        <f t="shared" si="53"/>
        <v>45</v>
      </c>
      <c r="BG11" s="396">
        <f t="shared" si="54"/>
        <v>46</v>
      </c>
      <c r="BH11" s="396">
        <f t="shared" si="55"/>
        <v>47</v>
      </c>
      <c r="BI11" s="396">
        <f t="shared" si="56"/>
        <v>48</v>
      </c>
      <c r="BJ11" s="396">
        <f t="shared" si="57"/>
        <v>49</v>
      </c>
      <c r="BK11" s="396">
        <f t="shared" si="58"/>
        <v>50</v>
      </c>
      <c r="BL11" s="396">
        <f t="shared" si="59"/>
        <v>51</v>
      </c>
    </row>
    <row r="12" spans="1:64" ht="15">
      <c r="A12" s="413">
        <v>11</v>
      </c>
      <c r="B12" s="409">
        <f t="shared" si="61"/>
        <v>1</v>
      </c>
      <c r="C12" s="386"/>
      <c r="D12" s="411">
        <f t="shared" si="62"/>
        <v>5</v>
      </c>
      <c r="E12" s="396">
        <f t="shared" si="0"/>
        <v>5</v>
      </c>
      <c r="F12" s="396">
        <f t="shared" si="1"/>
        <v>5</v>
      </c>
      <c r="G12" s="396">
        <f t="shared" si="2"/>
        <v>5</v>
      </c>
      <c r="H12" s="396">
        <f t="shared" si="3"/>
        <v>5</v>
      </c>
      <c r="I12" s="396">
        <f t="shared" si="4"/>
        <v>5</v>
      </c>
      <c r="J12" s="396">
        <f t="shared" si="5"/>
        <v>5</v>
      </c>
      <c r="K12" s="396">
        <f t="shared" si="6"/>
        <v>5</v>
      </c>
      <c r="L12" s="396">
        <f t="shared" si="7"/>
        <v>5</v>
      </c>
      <c r="M12" s="396">
        <f t="shared" si="8"/>
        <v>5</v>
      </c>
      <c r="N12" s="396">
        <f t="shared" si="9"/>
        <v>5</v>
      </c>
      <c r="O12" s="396">
        <f t="shared" si="10"/>
        <v>5</v>
      </c>
      <c r="P12" s="396">
        <f t="shared" si="11"/>
        <v>5</v>
      </c>
      <c r="Q12" s="396">
        <f t="shared" si="12"/>
        <v>5</v>
      </c>
      <c r="R12" s="396">
        <f t="shared" si="13"/>
        <v>5</v>
      </c>
      <c r="S12" s="412">
        <f t="shared" si="14"/>
        <v>5</v>
      </c>
      <c r="T12" s="396">
        <f t="shared" si="15"/>
        <v>6</v>
      </c>
      <c r="U12" s="396">
        <f t="shared" si="16"/>
        <v>7</v>
      </c>
      <c r="V12" s="396">
        <f t="shared" si="17"/>
        <v>8</v>
      </c>
      <c r="W12" s="396">
        <f t="shared" si="18"/>
        <v>9</v>
      </c>
      <c r="X12" s="396">
        <f t="shared" si="19"/>
        <v>10</v>
      </c>
      <c r="Y12" s="396">
        <f t="shared" si="20"/>
        <v>11</v>
      </c>
      <c r="Z12" s="396">
        <f t="shared" si="21"/>
        <v>12</v>
      </c>
      <c r="AA12" s="396">
        <f t="shared" si="22"/>
        <v>13</v>
      </c>
      <c r="AB12" s="396">
        <f t="shared" si="23"/>
        <v>14</v>
      </c>
      <c r="AC12" s="396">
        <f t="shared" si="24"/>
        <v>15</v>
      </c>
      <c r="AD12" s="396">
        <f t="shared" si="25"/>
        <v>16</v>
      </c>
      <c r="AE12" s="396">
        <f t="shared" si="26"/>
        <v>17</v>
      </c>
      <c r="AF12" s="396">
        <f t="shared" si="27"/>
        <v>18</v>
      </c>
      <c r="AG12" s="396">
        <f t="shared" si="28"/>
        <v>19</v>
      </c>
      <c r="AH12" s="396">
        <f t="shared" si="29"/>
        <v>20</v>
      </c>
      <c r="AI12" s="396">
        <f t="shared" si="30"/>
        <v>21</v>
      </c>
      <c r="AJ12" s="396">
        <f t="shared" si="31"/>
        <v>22</v>
      </c>
      <c r="AK12" s="396">
        <f t="shared" si="32"/>
        <v>23</v>
      </c>
      <c r="AL12" s="396">
        <f t="shared" si="33"/>
        <v>24</v>
      </c>
      <c r="AM12" s="396">
        <f t="shared" si="34"/>
        <v>25</v>
      </c>
      <c r="AN12" s="396">
        <f t="shared" si="35"/>
        <v>26</v>
      </c>
      <c r="AO12" s="396">
        <f t="shared" si="36"/>
        <v>27</v>
      </c>
      <c r="AP12" s="396">
        <f t="shared" si="37"/>
        <v>28</v>
      </c>
      <c r="AQ12" s="396">
        <f t="shared" si="38"/>
        <v>29</v>
      </c>
      <c r="AR12" s="396">
        <f t="shared" si="39"/>
        <v>30</v>
      </c>
      <c r="AS12" s="396">
        <f t="shared" si="40"/>
        <v>31</v>
      </c>
      <c r="AT12" s="396">
        <f t="shared" si="41"/>
        <v>32</v>
      </c>
      <c r="AU12" s="396">
        <f t="shared" si="42"/>
        <v>33</v>
      </c>
      <c r="AV12" s="396">
        <f t="shared" si="43"/>
        <v>34</v>
      </c>
      <c r="AW12" s="396">
        <f t="shared" si="44"/>
        <v>35</v>
      </c>
      <c r="AX12" s="396">
        <f t="shared" si="45"/>
        <v>36</v>
      </c>
      <c r="AY12" s="396">
        <f t="shared" si="46"/>
        <v>37</v>
      </c>
      <c r="AZ12" s="396">
        <f t="shared" si="47"/>
        <v>38</v>
      </c>
      <c r="BA12" s="396">
        <f t="shared" si="48"/>
        <v>39</v>
      </c>
      <c r="BB12" s="396">
        <f t="shared" si="49"/>
        <v>40</v>
      </c>
      <c r="BC12" s="396">
        <f t="shared" si="50"/>
        <v>41</v>
      </c>
      <c r="BD12" s="396">
        <f t="shared" si="51"/>
        <v>42</v>
      </c>
      <c r="BE12" s="396">
        <f t="shared" si="52"/>
        <v>43</v>
      </c>
      <c r="BF12" s="396">
        <f t="shared" si="53"/>
        <v>44</v>
      </c>
      <c r="BG12" s="396">
        <f t="shared" si="54"/>
        <v>45</v>
      </c>
      <c r="BH12" s="396">
        <f t="shared" si="55"/>
        <v>46</v>
      </c>
      <c r="BI12" s="396">
        <f t="shared" si="56"/>
        <v>47</v>
      </c>
      <c r="BJ12" s="396">
        <f t="shared" si="57"/>
        <v>48</v>
      </c>
      <c r="BK12" s="396">
        <f t="shared" si="58"/>
        <v>49</v>
      </c>
      <c r="BL12" s="396">
        <f t="shared" si="59"/>
        <v>50</v>
      </c>
    </row>
    <row r="13" spans="1:64" ht="15">
      <c r="A13" s="413">
        <v>12</v>
      </c>
      <c r="B13" s="409">
        <f t="shared" si="61"/>
        <v>1</v>
      </c>
      <c r="C13" s="386"/>
      <c r="D13" s="411">
        <f t="shared" si="62"/>
        <v>4</v>
      </c>
      <c r="E13" s="396">
        <f t="shared" si="0"/>
        <v>4</v>
      </c>
      <c r="F13" s="396">
        <f t="shared" si="1"/>
        <v>4</v>
      </c>
      <c r="G13" s="396">
        <f t="shared" si="2"/>
        <v>4</v>
      </c>
      <c r="H13" s="396">
        <f t="shared" si="3"/>
        <v>4</v>
      </c>
      <c r="I13" s="396">
        <f t="shared" si="4"/>
        <v>4</v>
      </c>
      <c r="J13" s="396">
        <f t="shared" si="5"/>
        <v>4</v>
      </c>
      <c r="K13" s="396">
        <f t="shared" si="6"/>
        <v>4</v>
      </c>
      <c r="L13" s="396">
        <f t="shared" si="7"/>
        <v>4</v>
      </c>
      <c r="M13" s="396">
        <f t="shared" si="8"/>
        <v>4</v>
      </c>
      <c r="N13" s="396">
        <f t="shared" si="9"/>
        <v>4</v>
      </c>
      <c r="O13" s="396">
        <f t="shared" si="10"/>
        <v>4</v>
      </c>
      <c r="P13" s="396">
        <f t="shared" si="11"/>
        <v>4</v>
      </c>
      <c r="Q13" s="396">
        <f t="shared" si="12"/>
        <v>4</v>
      </c>
      <c r="R13" s="396">
        <f t="shared" si="13"/>
        <v>4</v>
      </c>
      <c r="S13" s="412">
        <f t="shared" si="14"/>
        <v>4</v>
      </c>
      <c r="T13" s="396">
        <f t="shared" si="15"/>
        <v>5</v>
      </c>
      <c r="U13" s="396">
        <f t="shared" si="16"/>
        <v>6</v>
      </c>
      <c r="V13" s="396">
        <f t="shared" si="17"/>
        <v>7</v>
      </c>
      <c r="W13" s="396">
        <f t="shared" si="18"/>
        <v>8</v>
      </c>
      <c r="X13" s="396">
        <f t="shared" si="19"/>
        <v>9</v>
      </c>
      <c r="Y13" s="396">
        <f t="shared" si="20"/>
        <v>10</v>
      </c>
      <c r="Z13" s="396">
        <f t="shared" si="21"/>
        <v>11</v>
      </c>
      <c r="AA13" s="396">
        <f t="shared" si="22"/>
        <v>12</v>
      </c>
      <c r="AB13" s="396">
        <f t="shared" si="23"/>
        <v>13</v>
      </c>
      <c r="AC13" s="396">
        <f t="shared" si="24"/>
        <v>14</v>
      </c>
      <c r="AD13" s="396">
        <f t="shared" si="25"/>
        <v>15</v>
      </c>
      <c r="AE13" s="396">
        <f t="shared" si="26"/>
        <v>16</v>
      </c>
      <c r="AF13" s="396">
        <f t="shared" si="27"/>
        <v>17</v>
      </c>
      <c r="AG13" s="396">
        <f t="shared" si="28"/>
        <v>18</v>
      </c>
      <c r="AH13" s="396">
        <f t="shared" si="29"/>
        <v>19</v>
      </c>
      <c r="AI13" s="396">
        <f t="shared" si="30"/>
        <v>20</v>
      </c>
      <c r="AJ13" s="396">
        <f t="shared" si="31"/>
        <v>21</v>
      </c>
      <c r="AK13" s="396">
        <f t="shared" si="32"/>
        <v>22</v>
      </c>
      <c r="AL13" s="396">
        <f t="shared" si="33"/>
        <v>23</v>
      </c>
      <c r="AM13" s="396">
        <f t="shared" si="34"/>
        <v>24</v>
      </c>
      <c r="AN13" s="396">
        <f t="shared" si="35"/>
        <v>25</v>
      </c>
      <c r="AO13" s="396">
        <f t="shared" si="36"/>
        <v>26</v>
      </c>
      <c r="AP13" s="396">
        <f t="shared" si="37"/>
        <v>27</v>
      </c>
      <c r="AQ13" s="396">
        <f t="shared" si="38"/>
        <v>28</v>
      </c>
      <c r="AR13" s="396">
        <f t="shared" si="39"/>
        <v>29</v>
      </c>
      <c r="AS13" s="396">
        <f t="shared" si="40"/>
        <v>30</v>
      </c>
      <c r="AT13" s="396">
        <f t="shared" si="41"/>
        <v>31</v>
      </c>
      <c r="AU13" s="396">
        <f t="shared" si="42"/>
        <v>32</v>
      </c>
      <c r="AV13" s="396">
        <f t="shared" si="43"/>
        <v>33</v>
      </c>
      <c r="AW13" s="396">
        <f t="shared" si="44"/>
        <v>34</v>
      </c>
      <c r="AX13" s="396">
        <f t="shared" si="45"/>
        <v>35</v>
      </c>
      <c r="AY13" s="396">
        <f t="shared" si="46"/>
        <v>36</v>
      </c>
      <c r="AZ13" s="396">
        <f t="shared" si="47"/>
        <v>37</v>
      </c>
      <c r="BA13" s="396">
        <f t="shared" si="48"/>
        <v>38</v>
      </c>
      <c r="BB13" s="396">
        <f t="shared" si="49"/>
        <v>39</v>
      </c>
      <c r="BC13" s="396">
        <f t="shared" si="50"/>
        <v>40</v>
      </c>
      <c r="BD13" s="396">
        <f t="shared" si="51"/>
        <v>41</v>
      </c>
      <c r="BE13" s="396">
        <f t="shared" si="52"/>
        <v>42</v>
      </c>
      <c r="BF13" s="396">
        <f t="shared" si="53"/>
        <v>43</v>
      </c>
      <c r="BG13" s="396">
        <f t="shared" si="54"/>
        <v>44</v>
      </c>
      <c r="BH13" s="396">
        <f t="shared" si="55"/>
        <v>45</v>
      </c>
      <c r="BI13" s="396">
        <f t="shared" si="56"/>
        <v>46</v>
      </c>
      <c r="BJ13" s="396">
        <f t="shared" si="57"/>
        <v>47</v>
      </c>
      <c r="BK13" s="396">
        <f t="shared" si="58"/>
        <v>48</v>
      </c>
      <c r="BL13" s="396">
        <f t="shared" si="59"/>
        <v>49</v>
      </c>
    </row>
    <row r="14" spans="1:64" ht="15">
      <c r="A14" s="413">
        <v>13</v>
      </c>
      <c r="B14" s="409">
        <f t="shared" si="61"/>
        <v>1</v>
      </c>
      <c r="C14" s="386"/>
      <c r="D14" s="411">
        <f t="shared" si="62"/>
        <v>3</v>
      </c>
      <c r="E14" s="396">
        <f t="shared" si="0"/>
        <v>3</v>
      </c>
      <c r="F14" s="396">
        <f t="shared" si="1"/>
        <v>3</v>
      </c>
      <c r="G14" s="396">
        <f t="shared" si="2"/>
        <v>3</v>
      </c>
      <c r="H14" s="396">
        <f t="shared" si="3"/>
        <v>3</v>
      </c>
      <c r="I14" s="396">
        <f t="shared" si="4"/>
        <v>3</v>
      </c>
      <c r="J14" s="396">
        <f t="shared" si="5"/>
        <v>3</v>
      </c>
      <c r="K14" s="396">
        <f t="shared" si="6"/>
        <v>3</v>
      </c>
      <c r="L14" s="396">
        <f t="shared" si="7"/>
        <v>3</v>
      </c>
      <c r="M14" s="396">
        <f t="shared" si="8"/>
        <v>3</v>
      </c>
      <c r="N14" s="396">
        <f t="shared" si="9"/>
        <v>3</v>
      </c>
      <c r="O14" s="396">
        <f t="shared" si="10"/>
        <v>3</v>
      </c>
      <c r="P14" s="396">
        <f t="shared" si="11"/>
        <v>3</v>
      </c>
      <c r="Q14" s="396">
        <f t="shared" si="12"/>
        <v>3</v>
      </c>
      <c r="R14" s="396">
        <f t="shared" si="13"/>
        <v>3</v>
      </c>
      <c r="S14" s="412">
        <f t="shared" si="14"/>
        <v>3</v>
      </c>
      <c r="T14" s="396">
        <f t="shared" si="15"/>
        <v>4</v>
      </c>
      <c r="U14" s="396">
        <f t="shared" si="16"/>
        <v>5</v>
      </c>
      <c r="V14" s="396">
        <f t="shared" si="17"/>
        <v>6</v>
      </c>
      <c r="W14" s="396">
        <f t="shared" si="18"/>
        <v>7</v>
      </c>
      <c r="X14" s="396">
        <f t="shared" si="19"/>
        <v>8</v>
      </c>
      <c r="Y14" s="396">
        <f t="shared" si="20"/>
        <v>9</v>
      </c>
      <c r="Z14" s="396">
        <f t="shared" si="21"/>
        <v>10</v>
      </c>
      <c r="AA14" s="396">
        <f t="shared" si="22"/>
        <v>11</v>
      </c>
      <c r="AB14" s="396">
        <f t="shared" si="23"/>
        <v>12</v>
      </c>
      <c r="AC14" s="396">
        <f t="shared" si="24"/>
        <v>13</v>
      </c>
      <c r="AD14" s="396">
        <f t="shared" si="25"/>
        <v>14</v>
      </c>
      <c r="AE14" s="396">
        <f t="shared" si="26"/>
        <v>15</v>
      </c>
      <c r="AF14" s="396">
        <f t="shared" si="27"/>
        <v>16</v>
      </c>
      <c r="AG14" s="396">
        <f t="shared" si="28"/>
        <v>17</v>
      </c>
      <c r="AH14" s="396">
        <f t="shared" si="29"/>
        <v>18</v>
      </c>
      <c r="AI14" s="396">
        <f t="shared" si="30"/>
        <v>19</v>
      </c>
      <c r="AJ14" s="396">
        <f t="shared" si="31"/>
        <v>20</v>
      </c>
      <c r="AK14" s="396">
        <f t="shared" si="32"/>
        <v>21</v>
      </c>
      <c r="AL14" s="396">
        <f t="shared" si="33"/>
        <v>22</v>
      </c>
      <c r="AM14" s="396">
        <f t="shared" si="34"/>
        <v>23</v>
      </c>
      <c r="AN14" s="396">
        <f t="shared" si="35"/>
        <v>24</v>
      </c>
      <c r="AO14" s="396">
        <f t="shared" si="36"/>
        <v>25</v>
      </c>
      <c r="AP14" s="396">
        <f t="shared" si="37"/>
        <v>26</v>
      </c>
      <c r="AQ14" s="396">
        <f t="shared" si="38"/>
        <v>27</v>
      </c>
      <c r="AR14" s="396">
        <f t="shared" si="39"/>
        <v>28</v>
      </c>
      <c r="AS14" s="396">
        <f t="shared" si="40"/>
        <v>29</v>
      </c>
      <c r="AT14" s="396">
        <f t="shared" si="41"/>
        <v>30</v>
      </c>
      <c r="AU14" s="396">
        <f t="shared" si="42"/>
        <v>31</v>
      </c>
      <c r="AV14" s="396">
        <f t="shared" si="43"/>
        <v>32</v>
      </c>
      <c r="AW14" s="396">
        <f t="shared" si="44"/>
        <v>33</v>
      </c>
      <c r="AX14" s="396">
        <f t="shared" si="45"/>
        <v>34</v>
      </c>
      <c r="AY14" s="396">
        <f t="shared" si="46"/>
        <v>35</v>
      </c>
      <c r="AZ14" s="396">
        <f t="shared" si="47"/>
        <v>36</v>
      </c>
      <c r="BA14" s="396">
        <f t="shared" si="48"/>
        <v>37</v>
      </c>
      <c r="BB14" s="396">
        <f t="shared" si="49"/>
        <v>38</v>
      </c>
      <c r="BC14" s="396">
        <f t="shared" si="50"/>
        <v>39</v>
      </c>
      <c r="BD14" s="396">
        <f t="shared" si="51"/>
        <v>40</v>
      </c>
      <c r="BE14" s="396">
        <f t="shared" si="52"/>
        <v>41</v>
      </c>
      <c r="BF14" s="396">
        <f t="shared" si="53"/>
        <v>42</v>
      </c>
      <c r="BG14" s="396">
        <f t="shared" si="54"/>
        <v>43</v>
      </c>
      <c r="BH14" s="396">
        <f t="shared" si="55"/>
        <v>44</v>
      </c>
      <c r="BI14" s="396">
        <f t="shared" si="56"/>
        <v>45</v>
      </c>
      <c r="BJ14" s="396">
        <f t="shared" si="57"/>
        <v>46</v>
      </c>
      <c r="BK14" s="396">
        <f t="shared" si="58"/>
        <v>47</v>
      </c>
      <c r="BL14" s="396">
        <f t="shared" si="59"/>
        <v>48</v>
      </c>
    </row>
    <row r="15" spans="1:64" ht="15">
      <c r="A15" s="413">
        <v>14</v>
      </c>
      <c r="B15" s="409">
        <f t="shared" si="61"/>
        <v>1</v>
      </c>
      <c r="C15" s="386"/>
      <c r="D15" s="411">
        <f t="shared" si="62"/>
        <v>2</v>
      </c>
      <c r="E15" s="396">
        <f t="shared" si="0"/>
        <v>2</v>
      </c>
      <c r="F15" s="396">
        <f t="shared" si="1"/>
        <v>2</v>
      </c>
      <c r="G15" s="396">
        <f t="shared" si="2"/>
        <v>2</v>
      </c>
      <c r="H15" s="396">
        <f t="shared" si="3"/>
        <v>2</v>
      </c>
      <c r="I15" s="396">
        <f t="shared" si="4"/>
        <v>2</v>
      </c>
      <c r="J15" s="396">
        <f t="shared" si="5"/>
        <v>2</v>
      </c>
      <c r="K15" s="396">
        <f t="shared" si="6"/>
        <v>2</v>
      </c>
      <c r="L15" s="396">
        <f t="shared" si="7"/>
        <v>2</v>
      </c>
      <c r="M15" s="396">
        <f t="shared" si="8"/>
        <v>2</v>
      </c>
      <c r="N15" s="396">
        <f t="shared" si="9"/>
        <v>2</v>
      </c>
      <c r="O15" s="396">
        <f t="shared" si="10"/>
        <v>2</v>
      </c>
      <c r="P15" s="396">
        <f t="shared" si="11"/>
        <v>2</v>
      </c>
      <c r="Q15" s="396">
        <f t="shared" si="12"/>
        <v>2</v>
      </c>
      <c r="R15" s="396">
        <f t="shared" si="13"/>
        <v>2</v>
      </c>
      <c r="S15" s="412">
        <f t="shared" si="14"/>
        <v>2</v>
      </c>
      <c r="T15" s="396">
        <f t="shared" si="15"/>
        <v>3</v>
      </c>
      <c r="U15" s="396">
        <f t="shared" si="16"/>
        <v>4</v>
      </c>
      <c r="V15" s="396">
        <f t="shared" si="17"/>
        <v>5</v>
      </c>
      <c r="W15" s="396">
        <f t="shared" si="18"/>
        <v>6</v>
      </c>
      <c r="X15" s="396">
        <f t="shared" si="19"/>
        <v>7</v>
      </c>
      <c r="Y15" s="396">
        <f t="shared" si="20"/>
        <v>8</v>
      </c>
      <c r="Z15" s="396">
        <f t="shared" si="21"/>
        <v>9</v>
      </c>
      <c r="AA15" s="396">
        <f t="shared" si="22"/>
        <v>10</v>
      </c>
      <c r="AB15" s="396">
        <f t="shared" si="23"/>
        <v>11</v>
      </c>
      <c r="AC15" s="396">
        <f t="shared" si="24"/>
        <v>12</v>
      </c>
      <c r="AD15" s="396">
        <f t="shared" si="25"/>
        <v>13</v>
      </c>
      <c r="AE15" s="396">
        <f t="shared" si="26"/>
        <v>14</v>
      </c>
      <c r="AF15" s="396">
        <f t="shared" si="27"/>
        <v>15</v>
      </c>
      <c r="AG15" s="396">
        <f t="shared" si="28"/>
        <v>16</v>
      </c>
      <c r="AH15" s="396">
        <f t="shared" si="29"/>
        <v>17</v>
      </c>
      <c r="AI15" s="396">
        <f t="shared" si="30"/>
        <v>18</v>
      </c>
      <c r="AJ15" s="396">
        <f t="shared" si="31"/>
        <v>19</v>
      </c>
      <c r="AK15" s="396">
        <f t="shared" si="32"/>
        <v>20</v>
      </c>
      <c r="AL15" s="396">
        <f t="shared" si="33"/>
        <v>21</v>
      </c>
      <c r="AM15" s="396">
        <f t="shared" si="34"/>
        <v>22</v>
      </c>
      <c r="AN15" s="396">
        <f t="shared" si="35"/>
        <v>23</v>
      </c>
      <c r="AO15" s="396">
        <f t="shared" si="36"/>
        <v>24</v>
      </c>
      <c r="AP15" s="396">
        <f t="shared" si="37"/>
        <v>25</v>
      </c>
      <c r="AQ15" s="396">
        <f t="shared" si="38"/>
        <v>26</v>
      </c>
      <c r="AR15" s="396">
        <f t="shared" si="39"/>
        <v>27</v>
      </c>
      <c r="AS15" s="396">
        <f t="shared" si="40"/>
        <v>28</v>
      </c>
      <c r="AT15" s="396">
        <f t="shared" si="41"/>
        <v>29</v>
      </c>
      <c r="AU15" s="396">
        <f t="shared" si="42"/>
        <v>30</v>
      </c>
      <c r="AV15" s="396">
        <f t="shared" si="43"/>
        <v>31</v>
      </c>
      <c r="AW15" s="396">
        <f t="shared" si="44"/>
        <v>32</v>
      </c>
      <c r="AX15" s="396">
        <f t="shared" si="45"/>
        <v>33</v>
      </c>
      <c r="AY15" s="396">
        <f t="shared" si="46"/>
        <v>34</v>
      </c>
      <c r="AZ15" s="396">
        <f t="shared" si="47"/>
        <v>35</v>
      </c>
      <c r="BA15" s="396">
        <f t="shared" si="48"/>
        <v>36</v>
      </c>
      <c r="BB15" s="396">
        <f t="shared" si="49"/>
        <v>37</v>
      </c>
      <c r="BC15" s="396">
        <f t="shared" si="50"/>
        <v>38</v>
      </c>
      <c r="BD15" s="396">
        <f t="shared" si="51"/>
        <v>39</v>
      </c>
      <c r="BE15" s="396">
        <f t="shared" si="52"/>
        <v>40</v>
      </c>
      <c r="BF15" s="396">
        <f t="shared" si="53"/>
        <v>41</v>
      </c>
      <c r="BG15" s="396">
        <f t="shared" si="54"/>
        <v>42</v>
      </c>
      <c r="BH15" s="396">
        <f t="shared" si="55"/>
        <v>43</v>
      </c>
      <c r="BI15" s="396">
        <f t="shared" si="56"/>
        <v>44</v>
      </c>
      <c r="BJ15" s="396">
        <f t="shared" si="57"/>
        <v>45</v>
      </c>
      <c r="BK15" s="396">
        <f t="shared" si="58"/>
        <v>46</v>
      </c>
      <c r="BL15" s="396">
        <f t="shared" si="59"/>
        <v>47</v>
      </c>
    </row>
    <row r="16" spans="1:64" ht="15.75">
      <c r="A16" s="414">
        <v>15</v>
      </c>
      <c r="B16" s="415">
        <f t="shared" si="61"/>
        <v>1</v>
      </c>
      <c r="C16" s="416"/>
      <c r="D16" s="417">
        <f t="shared" si="62"/>
        <v>1</v>
      </c>
      <c r="E16" s="418">
        <f t="shared" si="0"/>
        <v>1</v>
      </c>
      <c r="F16" s="418">
        <f t="shared" si="1"/>
        <v>1</v>
      </c>
      <c r="G16" s="418">
        <f t="shared" si="2"/>
        <v>1</v>
      </c>
      <c r="H16" s="418">
        <f t="shared" si="3"/>
        <v>1</v>
      </c>
      <c r="I16" s="418">
        <f t="shared" si="4"/>
        <v>1</v>
      </c>
      <c r="J16" s="418">
        <f t="shared" si="5"/>
        <v>1</v>
      </c>
      <c r="K16" s="418">
        <f t="shared" si="6"/>
        <v>1</v>
      </c>
      <c r="L16" s="418">
        <f t="shared" si="7"/>
        <v>1</v>
      </c>
      <c r="M16" s="418">
        <f t="shared" si="8"/>
        <v>1</v>
      </c>
      <c r="N16" s="418">
        <f t="shared" si="9"/>
        <v>1</v>
      </c>
      <c r="O16" s="418">
        <f t="shared" si="10"/>
        <v>1</v>
      </c>
      <c r="P16" s="418">
        <f t="shared" si="11"/>
        <v>1</v>
      </c>
      <c r="Q16" s="418">
        <f t="shared" si="12"/>
        <v>1</v>
      </c>
      <c r="R16" s="418">
        <f t="shared" si="13"/>
        <v>1</v>
      </c>
      <c r="S16" s="419">
        <f t="shared" si="14"/>
        <v>1</v>
      </c>
      <c r="T16" s="396">
        <f t="shared" si="15"/>
        <v>2</v>
      </c>
      <c r="U16" s="396">
        <f t="shared" si="16"/>
        <v>3</v>
      </c>
      <c r="V16" s="396">
        <f t="shared" si="17"/>
        <v>4</v>
      </c>
      <c r="W16" s="396">
        <f t="shared" si="18"/>
        <v>5</v>
      </c>
      <c r="X16" s="396">
        <f t="shared" si="19"/>
        <v>6</v>
      </c>
      <c r="Y16" s="396">
        <f t="shared" si="20"/>
        <v>7</v>
      </c>
      <c r="Z16" s="396">
        <f t="shared" si="21"/>
        <v>8</v>
      </c>
      <c r="AA16" s="396">
        <f t="shared" si="22"/>
        <v>9</v>
      </c>
      <c r="AB16" s="396">
        <f t="shared" si="23"/>
        <v>10</v>
      </c>
      <c r="AC16" s="396">
        <f t="shared" si="24"/>
        <v>11</v>
      </c>
      <c r="AD16" s="396">
        <f t="shared" si="25"/>
        <v>12</v>
      </c>
      <c r="AE16" s="396">
        <f t="shared" si="26"/>
        <v>13</v>
      </c>
      <c r="AF16" s="396">
        <f t="shared" si="27"/>
        <v>14</v>
      </c>
      <c r="AG16" s="396">
        <f t="shared" si="28"/>
        <v>15</v>
      </c>
      <c r="AH16" s="396">
        <f t="shared" si="29"/>
        <v>16</v>
      </c>
      <c r="AI16" s="396">
        <f t="shared" si="30"/>
        <v>17</v>
      </c>
      <c r="AJ16" s="396">
        <f t="shared" si="31"/>
        <v>18</v>
      </c>
      <c r="AK16" s="396">
        <f t="shared" si="32"/>
        <v>19</v>
      </c>
      <c r="AL16" s="396">
        <f t="shared" si="33"/>
        <v>20</v>
      </c>
      <c r="AM16" s="396">
        <f t="shared" si="34"/>
        <v>21</v>
      </c>
      <c r="AN16" s="396">
        <f t="shared" si="35"/>
        <v>22</v>
      </c>
      <c r="AO16" s="396">
        <f t="shared" si="36"/>
        <v>23</v>
      </c>
      <c r="AP16" s="396">
        <f t="shared" si="37"/>
        <v>24</v>
      </c>
      <c r="AQ16" s="396">
        <f t="shared" si="38"/>
        <v>25</v>
      </c>
      <c r="AR16" s="396">
        <f t="shared" si="39"/>
        <v>26</v>
      </c>
      <c r="AS16" s="396">
        <f t="shared" si="40"/>
        <v>27</v>
      </c>
      <c r="AT16" s="396">
        <f t="shared" si="41"/>
        <v>28</v>
      </c>
      <c r="AU16" s="396">
        <f t="shared" si="42"/>
        <v>29</v>
      </c>
      <c r="AV16" s="396">
        <f t="shared" si="43"/>
        <v>30</v>
      </c>
      <c r="AW16" s="396">
        <f t="shared" si="44"/>
        <v>31</v>
      </c>
      <c r="AX16" s="396">
        <f t="shared" si="45"/>
        <v>32</v>
      </c>
      <c r="AY16" s="396">
        <f t="shared" si="46"/>
        <v>33</v>
      </c>
      <c r="AZ16" s="396">
        <f t="shared" si="47"/>
        <v>34</v>
      </c>
      <c r="BA16" s="396">
        <f t="shared" si="48"/>
        <v>35</v>
      </c>
      <c r="BB16" s="396">
        <f t="shared" si="49"/>
        <v>36</v>
      </c>
      <c r="BC16" s="396">
        <f t="shared" si="50"/>
        <v>37</v>
      </c>
      <c r="BD16" s="396">
        <f t="shared" si="51"/>
        <v>38</v>
      </c>
      <c r="BE16" s="396">
        <f t="shared" si="52"/>
        <v>39</v>
      </c>
      <c r="BF16" s="396">
        <f t="shared" si="53"/>
        <v>40</v>
      </c>
      <c r="BG16" s="396">
        <f t="shared" si="54"/>
        <v>41</v>
      </c>
      <c r="BH16" s="396">
        <f t="shared" si="55"/>
        <v>42</v>
      </c>
      <c r="BI16" s="396">
        <f t="shared" si="56"/>
        <v>43</v>
      </c>
      <c r="BJ16" s="396">
        <f t="shared" si="57"/>
        <v>44</v>
      </c>
      <c r="BK16" s="396">
        <f t="shared" si="58"/>
        <v>45</v>
      </c>
      <c r="BL16" s="396">
        <f t="shared" si="59"/>
        <v>46</v>
      </c>
    </row>
    <row r="17" spans="1:64" ht="15">
      <c r="A17" s="375">
        <v>16</v>
      </c>
      <c r="B17" s="396">
        <f t="shared" si="61"/>
        <v>1</v>
      </c>
      <c r="C17" s="396"/>
      <c r="D17" s="411">
        <f t="shared" si="62"/>
        <v>0</v>
      </c>
      <c r="E17" s="396">
        <f t="shared" si="0"/>
        <v>0</v>
      </c>
      <c r="F17" s="396">
        <f t="shared" si="1"/>
        <v>0</v>
      </c>
      <c r="G17" s="396">
        <f t="shared" si="2"/>
        <v>0</v>
      </c>
      <c r="H17" s="396">
        <f t="shared" si="3"/>
        <v>0</v>
      </c>
      <c r="I17" s="396">
        <f t="shared" si="4"/>
        <v>0</v>
      </c>
      <c r="J17" s="396">
        <f t="shared" si="5"/>
        <v>0</v>
      </c>
      <c r="K17" s="396">
        <f t="shared" si="6"/>
        <v>0</v>
      </c>
      <c r="L17" s="396">
        <f t="shared" si="7"/>
        <v>0</v>
      </c>
      <c r="M17" s="396">
        <f t="shared" si="8"/>
        <v>0</v>
      </c>
      <c r="N17" s="396">
        <f t="shared" si="9"/>
        <v>0</v>
      </c>
      <c r="O17" s="396">
        <f t="shared" si="10"/>
        <v>0</v>
      </c>
      <c r="P17" s="396">
        <f t="shared" si="11"/>
        <v>0</v>
      </c>
      <c r="Q17" s="396">
        <f t="shared" si="12"/>
        <v>0</v>
      </c>
      <c r="R17" s="396">
        <f t="shared" si="13"/>
        <v>0</v>
      </c>
      <c r="S17" s="396">
        <f t="shared" si="14"/>
        <v>0</v>
      </c>
      <c r="T17" s="396">
        <f t="shared" si="15"/>
        <v>1</v>
      </c>
      <c r="U17" s="396">
        <f t="shared" si="16"/>
        <v>2</v>
      </c>
      <c r="V17" s="396">
        <f t="shared" si="17"/>
        <v>3</v>
      </c>
      <c r="W17" s="396">
        <f t="shared" si="18"/>
        <v>4</v>
      </c>
      <c r="X17" s="396">
        <f t="shared" si="19"/>
        <v>5</v>
      </c>
      <c r="Y17" s="396">
        <f t="shared" si="20"/>
        <v>6</v>
      </c>
      <c r="Z17" s="396">
        <f t="shared" si="21"/>
        <v>7</v>
      </c>
      <c r="AA17" s="396">
        <f t="shared" si="22"/>
        <v>8</v>
      </c>
      <c r="AB17" s="396">
        <f t="shared" si="23"/>
        <v>9</v>
      </c>
      <c r="AC17" s="396">
        <f t="shared" si="24"/>
        <v>10</v>
      </c>
      <c r="AD17" s="396">
        <f t="shared" si="25"/>
        <v>11</v>
      </c>
      <c r="AE17" s="396">
        <f t="shared" si="26"/>
        <v>12</v>
      </c>
      <c r="AF17" s="396">
        <f t="shared" si="27"/>
        <v>13</v>
      </c>
      <c r="AG17" s="396">
        <f t="shared" si="28"/>
        <v>14</v>
      </c>
      <c r="AH17" s="396">
        <f t="shared" si="29"/>
        <v>15</v>
      </c>
      <c r="AI17" s="396">
        <f t="shared" si="30"/>
        <v>16</v>
      </c>
      <c r="AJ17" s="396">
        <f t="shared" si="31"/>
        <v>17</v>
      </c>
      <c r="AK17" s="396">
        <f t="shared" si="32"/>
        <v>18</v>
      </c>
      <c r="AL17" s="396">
        <f t="shared" si="33"/>
        <v>19</v>
      </c>
      <c r="AM17" s="396">
        <f t="shared" si="34"/>
        <v>20</v>
      </c>
      <c r="AN17" s="396">
        <f t="shared" si="35"/>
        <v>21</v>
      </c>
      <c r="AO17" s="396">
        <f t="shared" si="36"/>
        <v>22</v>
      </c>
      <c r="AP17" s="396">
        <f t="shared" si="37"/>
        <v>23</v>
      </c>
      <c r="AQ17" s="396">
        <f t="shared" si="38"/>
        <v>24</v>
      </c>
      <c r="AR17" s="396">
        <f t="shared" si="39"/>
        <v>25</v>
      </c>
      <c r="AS17" s="396">
        <f t="shared" si="40"/>
        <v>26</v>
      </c>
      <c r="AT17" s="396">
        <f t="shared" si="41"/>
        <v>27</v>
      </c>
      <c r="AU17" s="396">
        <f t="shared" si="42"/>
        <v>28</v>
      </c>
      <c r="AV17" s="396">
        <f t="shared" si="43"/>
        <v>29</v>
      </c>
      <c r="AW17" s="396">
        <f t="shared" si="44"/>
        <v>30</v>
      </c>
      <c r="AX17" s="396">
        <f t="shared" si="45"/>
        <v>31</v>
      </c>
      <c r="AY17" s="396">
        <f t="shared" si="46"/>
        <v>32</v>
      </c>
      <c r="AZ17" s="396">
        <f t="shared" si="47"/>
        <v>33</v>
      </c>
      <c r="BA17" s="396">
        <f t="shared" si="48"/>
        <v>34</v>
      </c>
      <c r="BB17" s="396">
        <f t="shared" si="49"/>
        <v>35</v>
      </c>
      <c r="BC17" s="396">
        <f t="shared" si="50"/>
        <v>36</v>
      </c>
      <c r="BD17" s="396">
        <f t="shared" si="51"/>
        <v>37</v>
      </c>
      <c r="BE17" s="396">
        <f t="shared" si="52"/>
        <v>38</v>
      </c>
      <c r="BF17" s="396">
        <f t="shared" si="53"/>
        <v>39</v>
      </c>
      <c r="BG17" s="396">
        <f t="shared" si="54"/>
        <v>40</v>
      </c>
      <c r="BH17" s="396">
        <f t="shared" si="55"/>
        <v>41</v>
      </c>
      <c r="BI17" s="396">
        <f t="shared" si="56"/>
        <v>42</v>
      </c>
      <c r="BJ17" s="396">
        <f t="shared" si="57"/>
        <v>43</v>
      </c>
      <c r="BK17" s="396">
        <f t="shared" si="58"/>
        <v>44</v>
      </c>
      <c r="BL17" s="396">
        <f t="shared" si="59"/>
        <v>45</v>
      </c>
    </row>
    <row r="18" spans="1:64" ht="15">
      <c r="A18" s="375">
        <v>17</v>
      </c>
      <c r="B18" s="409">
        <f t="shared" si="61"/>
        <v>1</v>
      </c>
      <c r="C18" s="386"/>
      <c r="D18" s="411">
        <f t="shared" si="62"/>
        <v>-1</v>
      </c>
      <c r="E18" s="396">
        <f t="shared" si="0"/>
        <v>-1</v>
      </c>
      <c r="F18" s="396">
        <f t="shared" si="1"/>
        <v>-1</v>
      </c>
      <c r="G18" s="396">
        <f t="shared" si="2"/>
        <v>-1</v>
      </c>
      <c r="H18" s="396">
        <f t="shared" si="3"/>
        <v>-1</v>
      </c>
      <c r="I18" s="396">
        <f t="shared" si="4"/>
        <v>-1</v>
      </c>
      <c r="J18" s="396">
        <f t="shared" si="5"/>
        <v>-1</v>
      </c>
      <c r="K18" s="396">
        <f t="shared" si="6"/>
        <v>-1</v>
      </c>
      <c r="L18" s="396">
        <f t="shared" si="7"/>
        <v>-1</v>
      </c>
      <c r="M18" s="396">
        <f t="shared" si="8"/>
        <v>-1</v>
      </c>
      <c r="N18" s="396">
        <f t="shared" si="9"/>
        <v>-1</v>
      </c>
      <c r="O18" s="396">
        <f t="shared" si="10"/>
        <v>-1</v>
      </c>
      <c r="P18" s="396">
        <f t="shared" si="11"/>
        <v>-1</v>
      </c>
      <c r="Q18" s="396">
        <f t="shared" si="12"/>
        <v>-1</v>
      </c>
      <c r="R18" s="396">
        <f t="shared" si="13"/>
        <v>-1</v>
      </c>
      <c r="S18" s="396">
        <f t="shared" si="14"/>
        <v>-1</v>
      </c>
      <c r="T18" s="396">
        <f t="shared" si="15"/>
        <v>0</v>
      </c>
      <c r="U18" s="396">
        <f t="shared" si="16"/>
        <v>1</v>
      </c>
      <c r="V18" s="396">
        <f t="shared" si="17"/>
        <v>2</v>
      </c>
      <c r="W18" s="396">
        <f t="shared" si="18"/>
        <v>3</v>
      </c>
      <c r="X18" s="396">
        <f t="shared" si="19"/>
        <v>4</v>
      </c>
      <c r="Y18" s="396">
        <f t="shared" si="20"/>
        <v>5</v>
      </c>
      <c r="Z18" s="396">
        <f t="shared" si="21"/>
        <v>6</v>
      </c>
      <c r="AA18" s="396">
        <f t="shared" si="22"/>
        <v>7</v>
      </c>
      <c r="AB18" s="396">
        <f t="shared" si="23"/>
        <v>8</v>
      </c>
      <c r="AC18" s="396">
        <f t="shared" si="24"/>
        <v>9</v>
      </c>
      <c r="AD18" s="396">
        <f t="shared" si="25"/>
        <v>10</v>
      </c>
      <c r="AE18" s="396">
        <f t="shared" si="26"/>
        <v>11</v>
      </c>
      <c r="AF18" s="396">
        <f t="shared" si="27"/>
        <v>12</v>
      </c>
      <c r="AG18" s="396">
        <f t="shared" si="28"/>
        <v>13</v>
      </c>
      <c r="AH18" s="396">
        <f t="shared" si="29"/>
        <v>14</v>
      </c>
      <c r="AI18" s="396">
        <f t="shared" si="30"/>
        <v>15</v>
      </c>
      <c r="AJ18" s="396">
        <f t="shared" si="31"/>
        <v>16</v>
      </c>
      <c r="AK18" s="396">
        <f t="shared" si="32"/>
        <v>17</v>
      </c>
      <c r="AL18" s="396">
        <f t="shared" si="33"/>
        <v>18</v>
      </c>
      <c r="AM18" s="396">
        <f t="shared" si="34"/>
        <v>19</v>
      </c>
      <c r="AN18" s="396">
        <f t="shared" si="35"/>
        <v>20</v>
      </c>
      <c r="AO18" s="396">
        <f t="shared" si="36"/>
        <v>21</v>
      </c>
      <c r="AP18" s="396">
        <f t="shared" si="37"/>
        <v>22</v>
      </c>
      <c r="AQ18" s="396">
        <f t="shared" si="38"/>
        <v>23</v>
      </c>
      <c r="AR18" s="396">
        <f t="shared" si="39"/>
        <v>24</v>
      </c>
      <c r="AS18" s="396">
        <f t="shared" si="40"/>
        <v>25</v>
      </c>
      <c r="AT18" s="396">
        <f t="shared" si="41"/>
        <v>26</v>
      </c>
      <c r="AU18" s="396">
        <f t="shared" si="42"/>
        <v>27</v>
      </c>
      <c r="AV18" s="396">
        <f t="shared" si="43"/>
        <v>28</v>
      </c>
      <c r="AW18" s="396">
        <f t="shared" si="44"/>
        <v>29</v>
      </c>
      <c r="AX18" s="396">
        <f t="shared" si="45"/>
        <v>30</v>
      </c>
      <c r="AY18" s="396">
        <f t="shared" si="46"/>
        <v>31</v>
      </c>
      <c r="AZ18" s="396">
        <f t="shared" si="47"/>
        <v>32</v>
      </c>
      <c r="BA18" s="396">
        <f t="shared" si="48"/>
        <v>33</v>
      </c>
      <c r="BB18" s="396">
        <f t="shared" si="49"/>
        <v>34</v>
      </c>
      <c r="BC18" s="396">
        <f t="shared" si="50"/>
        <v>35</v>
      </c>
      <c r="BD18" s="396">
        <f t="shared" si="51"/>
        <v>36</v>
      </c>
      <c r="BE18" s="396">
        <f t="shared" si="52"/>
        <v>37</v>
      </c>
      <c r="BF18" s="396">
        <f t="shared" si="53"/>
        <v>38</v>
      </c>
      <c r="BG18" s="396">
        <f t="shared" si="54"/>
        <v>39</v>
      </c>
      <c r="BH18" s="396">
        <f t="shared" si="55"/>
        <v>40</v>
      </c>
      <c r="BI18" s="396">
        <f t="shared" si="56"/>
        <v>41</v>
      </c>
      <c r="BJ18" s="396">
        <f t="shared" si="57"/>
        <v>42</v>
      </c>
      <c r="BK18" s="396">
        <f t="shared" si="58"/>
        <v>43</v>
      </c>
      <c r="BL18" s="396">
        <f t="shared" si="59"/>
        <v>44</v>
      </c>
    </row>
    <row r="19" spans="1:64" ht="15">
      <c r="A19" s="375">
        <v>18</v>
      </c>
      <c r="B19" s="409">
        <f t="shared" si="61"/>
        <v>1</v>
      </c>
      <c r="C19" s="386"/>
      <c r="D19" s="411">
        <f t="shared" si="62"/>
        <v>-2</v>
      </c>
      <c r="E19" s="396">
        <f t="shared" si="0"/>
        <v>-2</v>
      </c>
      <c r="F19" s="396">
        <f t="shared" si="1"/>
        <v>-2</v>
      </c>
      <c r="G19" s="396">
        <f t="shared" si="2"/>
        <v>-2</v>
      </c>
      <c r="H19" s="396">
        <f t="shared" si="3"/>
        <v>-2</v>
      </c>
      <c r="I19" s="396">
        <f t="shared" si="4"/>
        <v>-2</v>
      </c>
      <c r="J19" s="396">
        <f t="shared" si="5"/>
        <v>-2</v>
      </c>
      <c r="K19" s="396">
        <f t="shared" si="6"/>
        <v>-2</v>
      </c>
      <c r="L19" s="396">
        <f t="shared" si="7"/>
        <v>-2</v>
      </c>
      <c r="M19" s="396">
        <f t="shared" si="8"/>
        <v>-2</v>
      </c>
      <c r="N19" s="396">
        <f t="shared" si="9"/>
        <v>-2</v>
      </c>
      <c r="O19" s="396">
        <f t="shared" si="10"/>
        <v>-2</v>
      </c>
      <c r="P19" s="396">
        <f t="shared" si="11"/>
        <v>-2</v>
      </c>
      <c r="Q19" s="396">
        <f t="shared" si="12"/>
        <v>-2</v>
      </c>
      <c r="R19" s="396">
        <f t="shared" si="13"/>
        <v>-2</v>
      </c>
      <c r="S19" s="396">
        <f t="shared" si="14"/>
        <v>-2</v>
      </c>
      <c r="T19" s="396">
        <f t="shared" si="15"/>
        <v>-1</v>
      </c>
      <c r="U19" s="396">
        <f t="shared" si="16"/>
        <v>0</v>
      </c>
      <c r="V19" s="396">
        <f t="shared" si="17"/>
        <v>1</v>
      </c>
      <c r="W19" s="396">
        <f t="shared" si="18"/>
        <v>2</v>
      </c>
      <c r="X19" s="396">
        <f t="shared" si="19"/>
        <v>3</v>
      </c>
      <c r="Y19" s="396">
        <f t="shared" si="20"/>
        <v>4</v>
      </c>
      <c r="Z19" s="396">
        <f t="shared" si="21"/>
        <v>5</v>
      </c>
      <c r="AA19" s="396">
        <f t="shared" si="22"/>
        <v>6</v>
      </c>
      <c r="AB19" s="396">
        <f t="shared" si="23"/>
        <v>7</v>
      </c>
      <c r="AC19" s="396">
        <f t="shared" si="24"/>
        <v>8</v>
      </c>
      <c r="AD19" s="396">
        <f t="shared" si="25"/>
        <v>9</v>
      </c>
      <c r="AE19" s="396">
        <f t="shared" si="26"/>
        <v>10</v>
      </c>
      <c r="AF19" s="396">
        <f t="shared" si="27"/>
        <v>11</v>
      </c>
      <c r="AG19" s="396">
        <f t="shared" si="28"/>
        <v>12</v>
      </c>
      <c r="AH19" s="396">
        <f t="shared" si="29"/>
        <v>13</v>
      </c>
      <c r="AI19" s="396">
        <f t="shared" si="30"/>
        <v>14</v>
      </c>
      <c r="AJ19" s="396">
        <f t="shared" si="31"/>
        <v>15</v>
      </c>
      <c r="AK19" s="396">
        <f t="shared" si="32"/>
        <v>16</v>
      </c>
      <c r="AL19" s="396">
        <f t="shared" si="33"/>
        <v>17</v>
      </c>
      <c r="AM19" s="396">
        <f t="shared" si="34"/>
        <v>18</v>
      </c>
      <c r="AN19" s="396">
        <f t="shared" si="35"/>
        <v>19</v>
      </c>
      <c r="AO19" s="396">
        <f t="shared" si="36"/>
        <v>20</v>
      </c>
      <c r="AP19" s="396">
        <f t="shared" si="37"/>
        <v>21</v>
      </c>
      <c r="AQ19" s="396">
        <f t="shared" si="38"/>
        <v>22</v>
      </c>
      <c r="AR19" s="396">
        <f t="shared" si="39"/>
        <v>23</v>
      </c>
      <c r="AS19" s="396">
        <f t="shared" si="40"/>
        <v>24</v>
      </c>
      <c r="AT19" s="396">
        <f t="shared" si="41"/>
        <v>25</v>
      </c>
      <c r="AU19" s="396">
        <f t="shared" si="42"/>
        <v>26</v>
      </c>
      <c r="AV19" s="396">
        <f t="shared" si="43"/>
        <v>27</v>
      </c>
      <c r="AW19" s="396">
        <f t="shared" si="44"/>
        <v>28</v>
      </c>
      <c r="AX19" s="396">
        <f t="shared" si="45"/>
        <v>29</v>
      </c>
      <c r="AY19" s="396">
        <f t="shared" si="46"/>
        <v>30</v>
      </c>
      <c r="AZ19" s="396">
        <f t="shared" si="47"/>
        <v>31</v>
      </c>
      <c r="BA19" s="396">
        <f t="shared" si="48"/>
        <v>32</v>
      </c>
      <c r="BB19" s="396">
        <f t="shared" si="49"/>
        <v>33</v>
      </c>
      <c r="BC19" s="396">
        <f t="shared" si="50"/>
        <v>34</v>
      </c>
      <c r="BD19" s="396">
        <f t="shared" si="51"/>
        <v>35</v>
      </c>
      <c r="BE19" s="396">
        <f t="shared" si="52"/>
        <v>36</v>
      </c>
      <c r="BF19" s="396">
        <f t="shared" si="53"/>
        <v>37</v>
      </c>
      <c r="BG19" s="396">
        <f t="shared" si="54"/>
        <v>38</v>
      </c>
      <c r="BH19" s="396">
        <f t="shared" si="55"/>
        <v>39</v>
      </c>
      <c r="BI19" s="396">
        <f t="shared" si="56"/>
        <v>40</v>
      </c>
      <c r="BJ19" s="396">
        <f t="shared" si="57"/>
        <v>41</v>
      </c>
      <c r="BK19" s="396">
        <f t="shared" si="58"/>
        <v>42</v>
      </c>
      <c r="BL19" s="396">
        <f t="shared" si="59"/>
        <v>43</v>
      </c>
    </row>
    <row r="20" spans="1:64" ht="15">
      <c r="A20" s="375">
        <v>19</v>
      </c>
      <c r="B20" s="409">
        <f t="shared" si="61"/>
        <v>1</v>
      </c>
      <c r="C20" s="386"/>
      <c r="D20" s="411">
        <f t="shared" si="62"/>
        <v>-3</v>
      </c>
      <c r="E20" s="396">
        <f t="shared" si="0"/>
        <v>-3</v>
      </c>
      <c r="F20" s="396">
        <f t="shared" si="1"/>
        <v>-3</v>
      </c>
      <c r="G20" s="396">
        <f t="shared" si="2"/>
        <v>-3</v>
      </c>
      <c r="H20" s="396">
        <f t="shared" si="3"/>
        <v>-3</v>
      </c>
      <c r="I20" s="396">
        <f t="shared" si="4"/>
        <v>-3</v>
      </c>
      <c r="J20" s="396">
        <f t="shared" si="5"/>
        <v>-3</v>
      </c>
      <c r="K20" s="396">
        <f t="shared" si="6"/>
        <v>-3</v>
      </c>
      <c r="L20" s="396">
        <f t="shared" si="7"/>
        <v>-3</v>
      </c>
      <c r="M20" s="396">
        <f t="shared" si="8"/>
        <v>-3</v>
      </c>
      <c r="N20" s="396">
        <f t="shared" si="9"/>
        <v>-3</v>
      </c>
      <c r="O20" s="396">
        <f t="shared" si="10"/>
        <v>-3</v>
      </c>
      <c r="P20" s="396">
        <f t="shared" si="11"/>
        <v>-3</v>
      </c>
      <c r="Q20" s="396">
        <f t="shared" si="12"/>
        <v>-3</v>
      </c>
      <c r="R20" s="396">
        <f t="shared" si="13"/>
        <v>-3</v>
      </c>
      <c r="S20" s="396">
        <f t="shared" si="14"/>
        <v>-3</v>
      </c>
      <c r="T20" s="396">
        <f t="shared" si="15"/>
        <v>-2</v>
      </c>
      <c r="U20" s="396">
        <f t="shared" si="16"/>
        <v>-1</v>
      </c>
      <c r="V20" s="396">
        <f t="shared" si="17"/>
        <v>0</v>
      </c>
      <c r="W20" s="396">
        <f t="shared" si="18"/>
        <v>1</v>
      </c>
      <c r="X20" s="396">
        <f t="shared" si="19"/>
        <v>2</v>
      </c>
      <c r="Y20" s="396">
        <f t="shared" si="20"/>
        <v>3</v>
      </c>
      <c r="Z20" s="396">
        <f t="shared" si="21"/>
        <v>4</v>
      </c>
      <c r="AA20" s="396">
        <f t="shared" si="22"/>
        <v>5</v>
      </c>
      <c r="AB20" s="396">
        <f t="shared" si="23"/>
        <v>6</v>
      </c>
      <c r="AC20" s="396">
        <f t="shared" si="24"/>
        <v>7</v>
      </c>
      <c r="AD20" s="396">
        <f t="shared" si="25"/>
        <v>8</v>
      </c>
      <c r="AE20" s="396">
        <f t="shared" si="26"/>
        <v>9</v>
      </c>
      <c r="AF20" s="396">
        <f t="shared" si="27"/>
        <v>10</v>
      </c>
      <c r="AG20" s="396">
        <f t="shared" si="28"/>
        <v>11</v>
      </c>
      <c r="AH20" s="396">
        <f t="shared" si="29"/>
        <v>12</v>
      </c>
      <c r="AI20" s="396">
        <f t="shared" si="30"/>
        <v>13</v>
      </c>
      <c r="AJ20" s="396">
        <f t="shared" si="31"/>
        <v>14</v>
      </c>
      <c r="AK20" s="396">
        <f t="shared" si="32"/>
        <v>15</v>
      </c>
      <c r="AL20" s="396">
        <f t="shared" si="33"/>
        <v>16</v>
      </c>
      <c r="AM20" s="396">
        <f t="shared" si="34"/>
        <v>17</v>
      </c>
      <c r="AN20" s="396">
        <f t="shared" si="35"/>
        <v>18</v>
      </c>
      <c r="AO20" s="396">
        <f t="shared" si="36"/>
        <v>19</v>
      </c>
      <c r="AP20" s="396">
        <f t="shared" si="37"/>
        <v>20</v>
      </c>
      <c r="AQ20" s="396">
        <f t="shared" si="38"/>
        <v>21</v>
      </c>
      <c r="AR20" s="396">
        <f t="shared" si="39"/>
        <v>22</v>
      </c>
      <c r="AS20" s="396">
        <f t="shared" si="40"/>
        <v>23</v>
      </c>
      <c r="AT20" s="396">
        <f t="shared" si="41"/>
        <v>24</v>
      </c>
      <c r="AU20" s="396">
        <f t="shared" si="42"/>
        <v>25</v>
      </c>
      <c r="AV20" s="396">
        <f t="shared" si="43"/>
        <v>26</v>
      </c>
      <c r="AW20" s="396">
        <f t="shared" si="44"/>
        <v>27</v>
      </c>
      <c r="AX20" s="396">
        <f t="shared" si="45"/>
        <v>28</v>
      </c>
      <c r="AY20" s="396">
        <f t="shared" si="46"/>
        <v>29</v>
      </c>
      <c r="AZ20" s="396">
        <f t="shared" si="47"/>
        <v>30</v>
      </c>
      <c r="BA20" s="396">
        <f t="shared" si="48"/>
        <v>31</v>
      </c>
      <c r="BB20" s="396">
        <f t="shared" si="49"/>
        <v>32</v>
      </c>
      <c r="BC20" s="396">
        <f t="shared" si="50"/>
        <v>33</v>
      </c>
      <c r="BD20" s="396">
        <f t="shared" si="51"/>
        <v>34</v>
      </c>
      <c r="BE20" s="396">
        <f t="shared" si="52"/>
        <v>35</v>
      </c>
      <c r="BF20" s="396">
        <f t="shared" si="53"/>
        <v>36</v>
      </c>
      <c r="BG20" s="396">
        <f t="shared" si="54"/>
        <v>37</v>
      </c>
      <c r="BH20" s="396">
        <f t="shared" si="55"/>
        <v>38</v>
      </c>
      <c r="BI20" s="396">
        <f t="shared" si="56"/>
        <v>39</v>
      </c>
      <c r="BJ20" s="396">
        <f t="shared" si="57"/>
        <v>40</v>
      </c>
      <c r="BK20" s="396">
        <f t="shared" si="58"/>
        <v>41</v>
      </c>
      <c r="BL20" s="396">
        <f t="shared" si="59"/>
        <v>42</v>
      </c>
    </row>
    <row r="21" spans="1:64" ht="15">
      <c r="A21" s="375">
        <v>20</v>
      </c>
      <c r="B21" s="409">
        <f t="shared" si="61"/>
        <v>1</v>
      </c>
      <c r="C21" s="386"/>
      <c r="D21" s="411">
        <f t="shared" si="62"/>
        <v>-4</v>
      </c>
      <c r="E21" s="396">
        <f t="shared" si="0"/>
        <v>-4</v>
      </c>
      <c r="F21" s="396">
        <f t="shared" si="1"/>
        <v>-4</v>
      </c>
      <c r="G21" s="396">
        <f t="shared" si="2"/>
        <v>-4</v>
      </c>
      <c r="H21" s="396">
        <f t="shared" si="3"/>
        <v>-4</v>
      </c>
      <c r="I21" s="396">
        <f t="shared" si="4"/>
        <v>-4</v>
      </c>
      <c r="J21" s="396">
        <f t="shared" si="5"/>
        <v>-4</v>
      </c>
      <c r="K21" s="396">
        <f t="shared" si="6"/>
        <v>-4</v>
      </c>
      <c r="L21" s="396">
        <f t="shared" si="7"/>
        <v>-4</v>
      </c>
      <c r="M21" s="396">
        <f t="shared" si="8"/>
        <v>-4</v>
      </c>
      <c r="N21" s="396">
        <f t="shared" si="9"/>
        <v>-4</v>
      </c>
      <c r="O21" s="396">
        <f t="shared" si="10"/>
        <v>-4</v>
      </c>
      <c r="P21" s="396">
        <f t="shared" si="11"/>
        <v>-4</v>
      </c>
      <c r="Q21" s="396">
        <f t="shared" si="12"/>
        <v>-4</v>
      </c>
      <c r="R21" s="396">
        <f t="shared" si="13"/>
        <v>-4</v>
      </c>
      <c r="S21" s="396">
        <f t="shared" si="14"/>
        <v>-4</v>
      </c>
      <c r="T21" s="396">
        <f t="shared" si="15"/>
        <v>-3</v>
      </c>
      <c r="U21" s="396">
        <f t="shared" si="16"/>
        <v>-2</v>
      </c>
      <c r="V21" s="396">
        <f t="shared" si="17"/>
        <v>-1</v>
      </c>
      <c r="W21" s="396">
        <f t="shared" si="18"/>
        <v>0</v>
      </c>
      <c r="X21" s="396">
        <f t="shared" si="19"/>
        <v>1</v>
      </c>
      <c r="Y21" s="396">
        <f t="shared" si="20"/>
        <v>2</v>
      </c>
      <c r="Z21" s="396">
        <f t="shared" si="21"/>
        <v>3</v>
      </c>
      <c r="AA21" s="396">
        <f t="shared" si="22"/>
        <v>4</v>
      </c>
      <c r="AB21" s="396">
        <f t="shared" si="23"/>
        <v>5</v>
      </c>
      <c r="AC21" s="396">
        <f t="shared" si="24"/>
        <v>6</v>
      </c>
      <c r="AD21" s="396">
        <f t="shared" si="25"/>
        <v>7</v>
      </c>
      <c r="AE21" s="396">
        <f t="shared" si="26"/>
        <v>8</v>
      </c>
      <c r="AF21" s="396">
        <f t="shared" si="27"/>
        <v>9</v>
      </c>
      <c r="AG21" s="396">
        <f t="shared" si="28"/>
        <v>10</v>
      </c>
      <c r="AH21" s="396">
        <f t="shared" si="29"/>
        <v>11</v>
      </c>
      <c r="AI21" s="396">
        <f t="shared" si="30"/>
        <v>12</v>
      </c>
      <c r="AJ21" s="396">
        <f t="shared" si="31"/>
        <v>13</v>
      </c>
      <c r="AK21" s="396">
        <f t="shared" si="32"/>
        <v>14</v>
      </c>
      <c r="AL21" s="396">
        <f t="shared" si="33"/>
        <v>15</v>
      </c>
      <c r="AM21" s="396">
        <f t="shared" si="34"/>
        <v>16</v>
      </c>
      <c r="AN21" s="396">
        <f t="shared" si="35"/>
        <v>17</v>
      </c>
      <c r="AO21" s="396">
        <f t="shared" si="36"/>
        <v>18</v>
      </c>
      <c r="AP21" s="396">
        <f t="shared" si="37"/>
        <v>19</v>
      </c>
      <c r="AQ21" s="396">
        <f t="shared" si="38"/>
        <v>20</v>
      </c>
      <c r="AR21" s="396">
        <f t="shared" si="39"/>
        <v>21</v>
      </c>
      <c r="AS21" s="396">
        <f t="shared" si="40"/>
        <v>22</v>
      </c>
      <c r="AT21" s="396">
        <f t="shared" si="41"/>
        <v>23</v>
      </c>
      <c r="AU21" s="396">
        <f t="shared" si="42"/>
        <v>24</v>
      </c>
      <c r="AV21" s="396">
        <f t="shared" si="43"/>
        <v>25</v>
      </c>
      <c r="AW21" s="396">
        <f t="shared" si="44"/>
        <v>26</v>
      </c>
      <c r="AX21" s="396">
        <f t="shared" si="45"/>
        <v>27</v>
      </c>
      <c r="AY21" s="396">
        <f t="shared" si="46"/>
        <v>28</v>
      </c>
      <c r="AZ21" s="396">
        <f t="shared" si="47"/>
        <v>29</v>
      </c>
      <c r="BA21" s="396">
        <f t="shared" si="48"/>
        <v>30</v>
      </c>
      <c r="BB21" s="396">
        <f t="shared" si="49"/>
        <v>31</v>
      </c>
      <c r="BC21" s="396">
        <f t="shared" si="50"/>
        <v>32</v>
      </c>
      <c r="BD21" s="396">
        <f t="shared" si="51"/>
        <v>33</v>
      </c>
      <c r="BE21" s="396">
        <f t="shared" si="52"/>
        <v>34</v>
      </c>
      <c r="BF21" s="396">
        <f t="shared" si="53"/>
        <v>35</v>
      </c>
      <c r="BG21" s="396">
        <f t="shared" si="54"/>
        <v>36</v>
      </c>
      <c r="BH21" s="396">
        <f t="shared" si="55"/>
        <v>37</v>
      </c>
      <c r="BI21" s="396">
        <f t="shared" si="56"/>
        <v>38</v>
      </c>
      <c r="BJ21" s="396">
        <f t="shared" si="57"/>
        <v>39</v>
      </c>
      <c r="BK21" s="396">
        <f t="shared" si="58"/>
        <v>40</v>
      </c>
      <c r="BL21" s="396">
        <f t="shared" si="59"/>
        <v>41</v>
      </c>
    </row>
    <row r="22" spans="1:64" ht="15">
      <c r="A22" s="375">
        <v>21</v>
      </c>
      <c r="B22" s="409">
        <f t="shared" si="61"/>
        <v>1</v>
      </c>
      <c r="C22" s="386"/>
      <c r="D22" s="411">
        <f t="shared" si="62"/>
        <v>-5</v>
      </c>
      <c r="E22" s="396">
        <f t="shared" si="0"/>
        <v>-5</v>
      </c>
      <c r="F22" s="396">
        <f t="shared" si="1"/>
        <v>-5</v>
      </c>
      <c r="G22" s="396">
        <f t="shared" si="2"/>
        <v>-5</v>
      </c>
      <c r="H22" s="396">
        <f t="shared" si="3"/>
        <v>-5</v>
      </c>
      <c r="I22" s="396">
        <f t="shared" si="4"/>
        <v>-5</v>
      </c>
      <c r="J22" s="396">
        <f t="shared" si="5"/>
        <v>-5</v>
      </c>
      <c r="K22" s="396">
        <f t="shared" si="6"/>
        <v>-5</v>
      </c>
      <c r="L22" s="396">
        <f t="shared" si="7"/>
        <v>-5</v>
      </c>
      <c r="M22" s="396">
        <f t="shared" si="8"/>
        <v>-5</v>
      </c>
      <c r="N22" s="396">
        <f t="shared" si="9"/>
        <v>-5</v>
      </c>
      <c r="O22" s="396">
        <f t="shared" si="10"/>
        <v>-5</v>
      </c>
      <c r="P22" s="396">
        <f t="shared" si="11"/>
        <v>-5</v>
      </c>
      <c r="Q22" s="396">
        <f t="shared" si="12"/>
        <v>-5</v>
      </c>
      <c r="R22" s="396">
        <f t="shared" si="13"/>
        <v>-5</v>
      </c>
      <c r="S22" s="396">
        <f t="shared" si="14"/>
        <v>-5</v>
      </c>
      <c r="T22" s="396">
        <f t="shared" si="15"/>
        <v>-4</v>
      </c>
      <c r="U22" s="396">
        <f t="shared" si="16"/>
        <v>-3</v>
      </c>
      <c r="V22" s="396">
        <f t="shared" si="17"/>
        <v>-2</v>
      </c>
      <c r="W22" s="396">
        <f t="shared" si="18"/>
        <v>-1</v>
      </c>
      <c r="X22" s="396">
        <f t="shared" si="19"/>
        <v>0</v>
      </c>
      <c r="Y22" s="396">
        <f t="shared" si="20"/>
        <v>1</v>
      </c>
      <c r="Z22" s="396">
        <f t="shared" si="21"/>
        <v>2</v>
      </c>
      <c r="AA22" s="396">
        <f t="shared" si="22"/>
        <v>3</v>
      </c>
      <c r="AB22" s="396">
        <f t="shared" si="23"/>
        <v>4</v>
      </c>
      <c r="AC22" s="396">
        <f t="shared" si="24"/>
        <v>5</v>
      </c>
      <c r="AD22" s="396">
        <f t="shared" si="25"/>
        <v>6</v>
      </c>
      <c r="AE22" s="396">
        <f t="shared" si="26"/>
        <v>7</v>
      </c>
      <c r="AF22" s="396">
        <f t="shared" si="27"/>
        <v>8</v>
      </c>
      <c r="AG22" s="396">
        <f t="shared" si="28"/>
        <v>9</v>
      </c>
      <c r="AH22" s="396">
        <f t="shared" si="29"/>
        <v>10</v>
      </c>
      <c r="AI22" s="396">
        <f t="shared" si="30"/>
        <v>11</v>
      </c>
      <c r="AJ22" s="396">
        <f t="shared" si="31"/>
        <v>12</v>
      </c>
      <c r="AK22" s="396">
        <f t="shared" si="32"/>
        <v>13</v>
      </c>
      <c r="AL22" s="396">
        <f t="shared" si="33"/>
        <v>14</v>
      </c>
      <c r="AM22" s="396">
        <f t="shared" si="34"/>
        <v>15</v>
      </c>
      <c r="AN22" s="396">
        <f t="shared" si="35"/>
        <v>16</v>
      </c>
      <c r="AO22" s="396">
        <f t="shared" si="36"/>
        <v>17</v>
      </c>
      <c r="AP22" s="396">
        <f t="shared" si="37"/>
        <v>18</v>
      </c>
      <c r="AQ22" s="396">
        <f t="shared" si="38"/>
        <v>19</v>
      </c>
      <c r="AR22" s="396">
        <f t="shared" si="39"/>
        <v>20</v>
      </c>
      <c r="AS22" s="396">
        <f t="shared" si="40"/>
        <v>21</v>
      </c>
      <c r="AT22" s="396">
        <f t="shared" si="41"/>
        <v>22</v>
      </c>
      <c r="AU22" s="396">
        <f t="shared" si="42"/>
        <v>23</v>
      </c>
      <c r="AV22" s="396">
        <f t="shared" si="43"/>
        <v>24</v>
      </c>
      <c r="AW22" s="396">
        <f t="shared" si="44"/>
        <v>25</v>
      </c>
      <c r="AX22" s="396">
        <f t="shared" si="45"/>
        <v>26</v>
      </c>
      <c r="AY22" s="396">
        <f t="shared" si="46"/>
        <v>27</v>
      </c>
      <c r="AZ22" s="396">
        <f t="shared" si="47"/>
        <v>28</v>
      </c>
      <c r="BA22" s="396">
        <f t="shared" si="48"/>
        <v>29</v>
      </c>
      <c r="BB22" s="396">
        <f t="shared" si="49"/>
        <v>30</v>
      </c>
      <c r="BC22" s="396">
        <f t="shared" si="50"/>
        <v>31</v>
      </c>
      <c r="BD22" s="396">
        <f t="shared" si="51"/>
        <v>32</v>
      </c>
      <c r="BE22" s="396">
        <f t="shared" si="52"/>
        <v>33</v>
      </c>
      <c r="BF22" s="396">
        <f t="shared" si="53"/>
        <v>34</v>
      </c>
      <c r="BG22" s="396">
        <f t="shared" si="54"/>
        <v>35</v>
      </c>
      <c r="BH22" s="396">
        <f t="shared" si="55"/>
        <v>36</v>
      </c>
      <c r="BI22" s="396">
        <f t="shared" si="56"/>
        <v>37</v>
      </c>
      <c r="BJ22" s="396">
        <f t="shared" si="57"/>
        <v>38</v>
      </c>
      <c r="BK22" s="396">
        <f t="shared" si="58"/>
        <v>39</v>
      </c>
      <c r="BL22" s="396">
        <f t="shared" si="59"/>
        <v>40</v>
      </c>
    </row>
    <row r="23" spans="1:64" ht="15">
      <c r="A23" s="375">
        <v>22</v>
      </c>
      <c r="B23" s="409">
        <f t="shared" si="61"/>
        <v>1</v>
      </c>
      <c r="C23" s="386"/>
      <c r="D23" s="411">
        <f t="shared" si="62"/>
        <v>-6</v>
      </c>
      <c r="E23" s="396">
        <f t="shared" si="0"/>
        <v>-6</v>
      </c>
      <c r="F23" s="396">
        <f t="shared" si="1"/>
        <v>-6</v>
      </c>
      <c r="G23" s="396">
        <f t="shared" si="2"/>
        <v>-6</v>
      </c>
      <c r="H23" s="396">
        <f t="shared" si="3"/>
        <v>-6</v>
      </c>
      <c r="I23" s="396">
        <f t="shared" si="4"/>
        <v>-6</v>
      </c>
      <c r="J23" s="396">
        <f t="shared" si="5"/>
        <v>-6</v>
      </c>
      <c r="K23" s="396">
        <f t="shared" si="6"/>
        <v>-6</v>
      </c>
      <c r="L23" s="396">
        <f t="shared" si="7"/>
        <v>-6</v>
      </c>
      <c r="M23" s="396">
        <f t="shared" si="8"/>
        <v>-6</v>
      </c>
      <c r="N23" s="396">
        <f t="shared" si="9"/>
        <v>-6</v>
      </c>
      <c r="O23" s="396">
        <f t="shared" si="10"/>
        <v>-6</v>
      </c>
      <c r="P23" s="396">
        <f t="shared" si="11"/>
        <v>-6</v>
      </c>
      <c r="Q23" s="396">
        <f t="shared" si="12"/>
        <v>-6</v>
      </c>
      <c r="R23" s="396">
        <f t="shared" si="13"/>
        <v>-6</v>
      </c>
      <c r="S23" s="396">
        <f t="shared" si="14"/>
        <v>-6</v>
      </c>
      <c r="T23" s="396">
        <f t="shared" si="15"/>
        <v>-5</v>
      </c>
      <c r="U23" s="396">
        <f t="shared" si="16"/>
        <v>-4</v>
      </c>
      <c r="V23" s="396">
        <f t="shared" si="17"/>
        <v>-3</v>
      </c>
      <c r="W23" s="396">
        <f t="shared" si="18"/>
        <v>-2</v>
      </c>
      <c r="X23" s="396">
        <f t="shared" si="19"/>
        <v>-1</v>
      </c>
      <c r="Y23" s="396">
        <f t="shared" si="20"/>
        <v>0</v>
      </c>
      <c r="Z23" s="396">
        <f t="shared" si="21"/>
        <v>1</v>
      </c>
      <c r="AA23" s="396">
        <f t="shared" si="22"/>
        <v>2</v>
      </c>
      <c r="AB23" s="396">
        <f t="shared" si="23"/>
        <v>3</v>
      </c>
      <c r="AC23" s="396">
        <f t="shared" si="24"/>
        <v>4</v>
      </c>
      <c r="AD23" s="396">
        <f t="shared" si="25"/>
        <v>5</v>
      </c>
      <c r="AE23" s="396">
        <f t="shared" si="26"/>
        <v>6</v>
      </c>
      <c r="AF23" s="396">
        <f t="shared" si="27"/>
        <v>7</v>
      </c>
      <c r="AG23" s="396">
        <f t="shared" si="28"/>
        <v>8</v>
      </c>
      <c r="AH23" s="396">
        <f t="shared" si="29"/>
        <v>9</v>
      </c>
      <c r="AI23" s="396">
        <f t="shared" si="30"/>
        <v>10</v>
      </c>
      <c r="AJ23" s="396">
        <f t="shared" si="31"/>
        <v>11</v>
      </c>
      <c r="AK23" s="396">
        <f t="shared" si="32"/>
        <v>12</v>
      </c>
      <c r="AL23" s="396">
        <f t="shared" si="33"/>
        <v>13</v>
      </c>
      <c r="AM23" s="396">
        <f t="shared" si="34"/>
        <v>14</v>
      </c>
      <c r="AN23" s="396">
        <f t="shared" si="35"/>
        <v>15</v>
      </c>
      <c r="AO23" s="396">
        <f t="shared" si="36"/>
        <v>16</v>
      </c>
      <c r="AP23" s="396">
        <f t="shared" si="37"/>
        <v>17</v>
      </c>
      <c r="AQ23" s="396">
        <f t="shared" si="38"/>
        <v>18</v>
      </c>
      <c r="AR23" s="396">
        <f t="shared" si="39"/>
        <v>19</v>
      </c>
      <c r="AS23" s="396">
        <f t="shared" si="40"/>
        <v>20</v>
      </c>
      <c r="AT23" s="396">
        <f t="shared" si="41"/>
        <v>21</v>
      </c>
      <c r="AU23" s="396">
        <f t="shared" si="42"/>
        <v>22</v>
      </c>
      <c r="AV23" s="396">
        <f t="shared" si="43"/>
        <v>23</v>
      </c>
      <c r="AW23" s="396">
        <f t="shared" si="44"/>
        <v>24</v>
      </c>
      <c r="AX23" s="396">
        <f t="shared" si="45"/>
        <v>25</v>
      </c>
      <c r="AY23" s="396">
        <f t="shared" si="46"/>
        <v>26</v>
      </c>
      <c r="AZ23" s="396">
        <f t="shared" si="47"/>
        <v>27</v>
      </c>
      <c r="BA23" s="396">
        <f t="shared" si="48"/>
        <v>28</v>
      </c>
      <c r="BB23" s="396">
        <f t="shared" si="49"/>
        <v>29</v>
      </c>
      <c r="BC23" s="396">
        <f t="shared" si="50"/>
        <v>30</v>
      </c>
      <c r="BD23" s="396">
        <f t="shared" si="51"/>
        <v>31</v>
      </c>
      <c r="BE23" s="396">
        <f t="shared" si="52"/>
        <v>32</v>
      </c>
      <c r="BF23" s="396">
        <f t="shared" si="53"/>
        <v>33</v>
      </c>
      <c r="BG23" s="396">
        <f t="shared" si="54"/>
        <v>34</v>
      </c>
      <c r="BH23" s="396">
        <f t="shared" si="55"/>
        <v>35</v>
      </c>
      <c r="BI23" s="396">
        <f t="shared" si="56"/>
        <v>36</v>
      </c>
      <c r="BJ23" s="396">
        <f t="shared" si="57"/>
        <v>37</v>
      </c>
      <c r="BK23" s="396">
        <f t="shared" si="58"/>
        <v>38</v>
      </c>
      <c r="BL23" s="396">
        <f t="shared" si="59"/>
        <v>39</v>
      </c>
    </row>
    <row r="24" spans="1:64" ht="15">
      <c r="A24" s="375">
        <v>23</v>
      </c>
      <c r="B24" s="409">
        <f t="shared" si="61"/>
        <v>1</v>
      </c>
      <c r="C24" s="386"/>
      <c r="D24" s="411">
        <f t="shared" si="62"/>
        <v>-7</v>
      </c>
      <c r="E24" s="396">
        <f t="shared" si="0"/>
        <v>-7</v>
      </c>
      <c r="F24" s="396">
        <f t="shared" si="1"/>
        <v>-7</v>
      </c>
      <c r="G24" s="396">
        <f t="shared" si="2"/>
        <v>-7</v>
      </c>
      <c r="H24" s="396">
        <f t="shared" si="3"/>
        <v>-7</v>
      </c>
      <c r="I24" s="396">
        <f t="shared" si="4"/>
        <v>-7</v>
      </c>
      <c r="J24" s="396">
        <f t="shared" si="5"/>
        <v>-7</v>
      </c>
      <c r="K24" s="396">
        <f t="shared" si="6"/>
        <v>-7</v>
      </c>
      <c r="L24" s="396">
        <f t="shared" si="7"/>
        <v>-7</v>
      </c>
      <c r="M24" s="396">
        <f t="shared" si="8"/>
        <v>-7</v>
      </c>
      <c r="N24" s="396">
        <f t="shared" si="9"/>
        <v>-7</v>
      </c>
      <c r="O24" s="396">
        <f t="shared" si="10"/>
        <v>-7</v>
      </c>
      <c r="P24" s="396">
        <f t="shared" si="11"/>
        <v>-7</v>
      </c>
      <c r="Q24" s="396">
        <f t="shared" si="12"/>
        <v>-7</v>
      </c>
      <c r="R24" s="396">
        <f t="shared" si="13"/>
        <v>-7</v>
      </c>
      <c r="S24" s="396">
        <f t="shared" si="14"/>
        <v>-7</v>
      </c>
      <c r="T24" s="396">
        <f t="shared" si="15"/>
        <v>-6</v>
      </c>
      <c r="U24" s="396">
        <f t="shared" si="16"/>
        <v>-5</v>
      </c>
      <c r="V24" s="396">
        <f t="shared" si="17"/>
        <v>-4</v>
      </c>
      <c r="W24" s="396">
        <f t="shared" si="18"/>
        <v>-3</v>
      </c>
      <c r="X24" s="396">
        <f t="shared" si="19"/>
        <v>-2</v>
      </c>
      <c r="Y24" s="396">
        <f t="shared" si="20"/>
        <v>-1</v>
      </c>
      <c r="Z24" s="396">
        <f t="shared" si="21"/>
        <v>0</v>
      </c>
      <c r="AA24" s="396">
        <f t="shared" si="22"/>
        <v>1</v>
      </c>
      <c r="AB24" s="396">
        <f t="shared" si="23"/>
        <v>2</v>
      </c>
      <c r="AC24" s="396">
        <f t="shared" si="24"/>
        <v>3</v>
      </c>
      <c r="AD24" s="396">
        <f t="shared" si="25"/>
        <v>4</v>
      </c>
      <c r="AE24" s="396">
        <f t="shared" si="26"/>
        <v>5</v>
      </c>
      <c r="AF24" s="396">
        <f t="shared" si="27"/>
        <v>6</v>
      </c>
      <c r="AG24" s="396">
        <f t="shared" si="28"/>
        <v>7</v>
      </c>
      <c r="AH24" s="396">
        <f t="shared" si="29"/>
        <v>8</v>
      </c>
      <c r="AI24" s="396">
        <f t="shared" si="30"/>
        <v>9</v>
      </c>
      <c r="AJ24" s="396">
        <f t="shared" si="31"/>
        <v>10</v>
      </c>
      <c r="AK24" s="396">
        <f t="shared" si="32"/>
        <v>11</v>
      </c>
      <c r="AL24" s="396">
        <f t="shared" si="33"/>
        <v>12</v>
      </c>
      <c r="AM24" s="396">
        <f t="shared" si="34"/>
        <v>13</v>
      </c>
      <c r="AN24" s="396">
        <f t="shared" si="35"/>
        <v>14</v>
      </c>
      <c r="AO24" s="396">
        <f t="shared" si="36"/>
        <v>15</v>
      </c>
      <c r="AP24" s="396">
        <f t="shared" si="37"/>
        <v>16</v>
      </c>
      <c r="AQ24" s="396">
        <f t="shared" si="38"/>
        <v>17</v>
      </c>
      <c r="AR24" s="396">
        <f t="shared" si="39"/>
        <v>18</v>
      </c>
      <c r="AS24" s="396">
        <f t="shared" si="40"/>
        <v>19</v>
      </c>
      <c r="AT24" s="396">
        <f t="shared" si="41"/>
        <v>20</v>
      </c>
      <c r="AU24" s="396">
        <f t="shared" si="42"/>
        <v>21</v>
      </c>
      <c r="AV24" s="396">
        <f t="shared" si="43"/>
        <v>22</v>
      </c>
      <c r="AW24" s="396">
        <f t="shared" si="44"/>
        <v>23</v>
      </c>
      <c r="AX24" s="396">
        <f t="shared" si="45"/>
        <v>24</v>
      </c>
      <c r="AY24" s="396">
        <f t="shared" si="46"/>
        <v>25</v>
      </c>
      <c r="AZ24" s="396">
        <f t="shared" si="47"/>
        <v>26</v>
      </c>
      <c r="BA24" s="396">
        <f t="shared" si="48"/>
        <v>27</v>
      </c>
      <c r="BB24" s="396">
        <f t="shared" si="49"/>
        <v>28</v>
      </c>
      <c r="BC24" s="396">
        <f t="shared" si="50"/>
        <v>29</v>
      </c>
      <c r="BD24" s="396">
        <f t="shared" si="51"/>
        <v>30</v>
      </c>
      <c r="BE24" s="396">
        <f t="shared" si="52"/>
        <v>31</v>
      </c>
      <c r="BF24" s="396">
        <f t="shared" si="53"/>
        <v>32</v>
      </c>
      <c r="BG24" s="396">
        <f t="shared" si="54"/>
        <v>33</v>
      </c>
      <c r="BH24" s="396">
        <f t="shared" si="55"/>
        <v>34</v>
      </c>
      <c r="BI24" s="396">
        <f t="shared" si="56"/>
        <v>35</v>
      </c>
      <c r="BJ24" s="396">
        <f t="shared" si="57"/>
        <v>36</v>
      </c>
      <c r="BK24" s="396">
        <f t="shared" si="58"/>
        <v>37</v>
      </c>
      <c r="BL24" s="396">
        <f t="shared" si="59"/>
        <v>38</v>
      </c>
    </row>
    <row r="25" spans="1:64" ht="15">
      <c r="A25" s="375">
        <v>24</v>
      </c>
      <c r="B25" s="409">
        <f t="shared" si="61"/>
        <v>1</v>
      </c>
      <c r="C25" s="386"/>
      <c r="D25" s="411">
        <f t="shared" si="62"/>
        <v>-8</v>
      </c>
      <c r="E25" s="396">
        <f t="shared" si="0"/>
        <v>-8</v>
      </c>
      <c r="F25" s="396">
        <f t="shared" si="1"/>
        <v>-8</v>
      </c>
      <c r="G25" s="396">
        <f t="shared" si="2"/>
        <v>-8</v>
      </c>
      <c r="H25" s="396">
        <f t="shared" si="3"/>
        <v>-8</v>
      </c>
      <c r="I25" s="396">
        <f t="shared" si="4"/>
        <v>-8</v>
      </c>
      <c r="J25" s="396">
        <f t="shared" si="5"/>
        <v>-8</v>
      </c>
      <c r="K25" s="396">
        <f t="shared" si="6"/>
        <v>-8</v>
      </c>
      <c r="L25" s="396">
        <f t="shared" si="7"/>
        <v>-8</v>
      </c>
      <c r="M25" s="396">
        <f t="shared" si="8"/>
        <v>-8</v>
      </c>
      <c r="N25" s="396">
        <f t="shared" si="9"/>
        <v>-8</v>
      </c>
      <c r="O25" s="396">
        <f t="shared" si="10"/>
        <v>-8</v>
      </c>
      <c r="P25" s="396">
        <f t="shared" si="11"/>
        <v>-8</v>
      </c>
      <c r="Q25" s="396">
        <f t="shared" si="12"/>
        <v>-8</v>
      </c>
      <c r="R25" s="396">
        <f t="shared" si="13"/>
        <v>-8</v>
      </c>
      <c r="S25" s="396">
        <f t="shared" si="14"/>
        <v>-8</v>
      </c>
      <c r="T25" s="396">
        <f t="shared" si="15"/>
        <v>-7</v>
      </c>
      <c r="U25" s="396">
        <f t="shared" si="16"/>
        <v>-6</v>
      </c>
      <c r="V25" s="396">
        <f t="shared" si="17"/>
        <v>-5</v>
      </c>
      <c r="W25" s="396">
        <f t="shared" si="18"/>
        <v>-4</v>
      </c>
      <c r="X25" s="396">
        <f t="shared" si="19"/>
        <v>-3</v>
      </c>
      <c r="Y25" s="396">
        <f t="shared" si="20"/>
        <v>-2</v>
      </c>
      <c r="Z25" s="396">
        <f t="shared" si="21"/>
        <v>-1</v>
      </c>
      <c r="AA25" s="396">
        <f t="shared" si="22"/>
        <v>0</v>
      </c>
      <c r="AB25" s="396">
        <f t="shared" si="23"/>
        <v>1</v>
      </c>
      <c r="AC25" s="396">
        <f t="shared" si="24"/>
        <v>2</v>
      </c>
      <c r="AD25" s="396">
        <f t="shared" si="25"/>
        <v>3</v>
      </c>
      <c r="AE25" s="396">
        <f t="shared" si="26"/>
        <v>4</v>
      </c>
      <c r="AF25" s="396">
        <f t="shared" si="27"/>
        <v>5</v>
      </c>
      <c r="AG25" s="396">
        <f t="shared" si="28"/>
        <v>6</v>
      </c>
      <c r="AH25" s="396">
        <f t="shared" si="29"/>
        <v>7</v>
      </c>
      <c r="AI25" s="396">
        <f t="shared" si="30"/>
        <v>8</v>
      </c>
      <c r="AJ25" s="396">
        <f t="shared" si="31"/>
        <v>9</v>
      </c>
      <c r="AK25" s="396">
        <f t="shared" si="32"/>
        <v>10</v>
      </c>
      <c r="AL25" s="396">
        <f t="shared" si="33"/>
        <v>11</v>
      </c>
      <c r="AM25" s="396">
        <f t="shared" si="34"/>
        <v>12</v>
      </c>
      <c r="AN25" s="396">
        <f t="shared" si="35"/>
        <v>13</v>
      </c>
      <c r="AO25" s="396">
        <f t="shared" si="36"/>
        <v>14</v>
      </c>
      <c r="AP25" s="396">
        <f t="shared" si="37"/>
        <v>15</v>
      </c>
      <c r="AQ25" s="396">
        <f t="shared" si="38"/>
        <v>16</v>
      </c>
      <c r="AR25" s="396">
        <f t="shared" si="39"/>
        <v>17</v>
      </c>
      <c r="AS25" s="396">
        <f t="shared" si="40"/>
        <v>18</v>
      </c>
      <c r="AT25" s="396">
        <f t="shared" si="41"/>
        <v>19</v>
      </c>
      <c r="AU25" s="396">
        <f t="shared" si="42"/>
        <v>20</v>
      </c>
      <c r="AV25" s="396">
        <f t="shared" si="43"/>
        <v>21</v>
      </c>
      <c r="AW25" s="396">
        <f t="shared" si="44"/>
        <v>22</v>
      </c>
      <c r="AX25" s="396">
        <f t="shared" si="45"/>
        <v>23</v>
      </c>
      <c r="AY25" s="396">
        <f t="shared" si="46"/>
        <v>24</v>
      </c>
      <c r="AZ25" s="396">
        <f t="shared" si="47"/>
        <v>25</v>
      </c>
      <c r="BA25" s="396">
        <f t="shared" si="48"/>
        <v>26</v>
      </c>
      <c r="BB25" s="396">
        <f t="shared" si="49"/>
        <v>27</v>
      </c>
      <c r="BC25" s="396">
        <f t="shared" si="50"/>
        <v>28</v>
      </c>
      <c r="BD25" s="396">
        <f t="shared" si="51"/>
        <v>29</v>
      </c>
      <c r="BE25" s="396">
        <f t="shared" si="52"/>
        <v>30</v>
      </c>
      <c r="BF25" s="396">
        <f t="shared" si="53"/>
        <v>31</v>
      </c>
      <c r="BG25" s="396">
        <f t="shared" si="54"/>
        <v>32</v>
      </c>
      <c r="BH25" s="396">
        <f t="shared" si="55"/>
        <v>33</v>
      </c>
      <c r="BI25" s="396">
        <f t="shared" si="56"/>
        <v>34</v>
      </c>
      <c r="BJ25" s="396">
        <f t="shared" si="57"/>
        <v>35</v>
      </c>
      <c r="BK25" s="396">
        <f t="shared" si="58"/>
        <v>36</v>
      </c>
      <c r="BL25" s="396">
        <f t="shared" si="59"/>
        <v>37</v>
      </c>
    </row>
    <row r="26" spans="1:64" ht="15">
      <c r="A26" s="375">
        <v>25</v>
      </c>
      <c r="B26" s="409">
        <f t="shared" si="61"/>
        <v>1</v>
      </c>
      <c r="C26" s="386"/>
      <c r="D26" s="411">
        <f t="shared" si="62"/>
        <v>-9</v>
      </c>
      <c r="E26" s="396">
        <f t="shared" si="0"/>
        <v>-9</v>
      </c>
      <c r="F26" s="396">
        <f t="shared" si="1"/>
        <v>-9</v>
      </c>
      <c r="G26" s="396">
        <f t="shared" si="2"/>
        <v>-9</v>
      </c>
      <c r="H26" s="396">
        <f t="shared" si="3"/>
        <v>-9</v>
      </c>
      <c r="I26" s="396">
        <f t="shared" si="4"/>
        <v>-9</v>
      </c>
      <c r="J26" s="396">
        <f t="shared" si="5"/>
        <v>-9</v>
      </c>
      <c r="K26" s="396">
        <f t="shared" si="6"/>
        <v>-9</v>
      </c>
      <c r="L26" s="396">
        <f t="shared" si="7"/>
        <v>-9</v>
      </c>
      <c r="M26" s="396">
        <f t="shared" si="8"/>
        <v>-9</v>
      </c>
      <c r="N26" s="396">
        <f t="shared" si="9"/>
        <v>-9</v>
      </c>
      <c r="O26" s="396">
        <f t="shared" si="10"/>
        <v>-9</v>
      </c>
      <c r="P26" s="396">
        <f t="shared" si="11"/>
        <v>-9</v>
      </c>
      <c r="Q26" s="396">
        <f t="shared" si="12"/>
        <v>-9</v>
      </c>
      <c r="R26" s="396">
        <f t="shared" si="13"/>
        <v>-9</v>
      </c>
      <c r="S26" s="396">
        <f t="shared" si="14"/>
        <v>-9</v>
      </c>
      <c r="T26" s="396">
        <f t="shared" si="15"/>
        <v>-8</v>
      </c>
      <c r="U26" s="396">
        <f t="shared" si="16"/>
        <v>-7</v>
      </c>
      <c r="V26" s="396">
        <f t="shared" si="17"/>
        <v>-6</v>
      </c>
      <c r="W26" s="396">
        <f t="shared" si="18"/>
        <v>-5</v>
      </c>
      <c r="X26" s="396">
        <f t="shared" si="19"/>
        <v>-4</v>
      </c>
      <c r="Y26" s="396">
        <f t="shared" si="20"/>
        <v>-3</v>
      </c>
      <c r="Z26" s="396">
        <f t="shared" si="21"/>
        <v>-2</v>
      </c>
      <c r="AA26" s="396">
        <f t="shared" si="22"/>
        <v>-1</v>
      </c>
      <c r="AB26" s="396">
        <f t="shared" si="23"/>
        <v>0</v>
      </c>
      <c r="AC26" s="396">
        <f t="shared" si="24"/>
        <v>1</v>
      </c>
      <c r="AD26" s="396">
        <f t="shared" si="25"/>
        <v>2</v>
      </c>
      <c r="AE26" s="396">
        <f t="shared" si="26"/>
        <v>3</v>
      </c>
      <c r="AF26" s="396">
        <f t="shared" si="27"/>
        <v>4</v>
      </c>
      <c r="AG26" s="396">
        <f t="shared" si="28"/>
        <v>5</v>
      </c>
      <c r="AH26" s="396">
        <f t="shared" si="29"/>
        <v>6</v>
      </c>
      <c r="AI26" s="396">
        <f t="shared" si="30"/>
        <v>7</v>
      </c>
      <c r="AJ26" s="396">
        <f t="shared" si="31"/>
        <v>8</v>
      </c>
      <c r="AK26" s="396">
        <f t="shared" si="32"/>
        <v>9</v>
      </c>
      <c r="AL26" s="396">
        <f t="shared" si="33"/>
        <v>10</v>
      </c>
      <c r="AM26" s="396">
        <f t="shared" si="34"/>
        <v>11</v>
      </c>
      <c r="AN26" s="396">
        <f t="shared" si="35"/>
        <v>12</v>
      </c>
      <c r="AO26" s="396">
        <f t="shared" si="36"/>
        <v>13</v>
      </c>
      <c r="AP26" s="396">
        <f t="shared" si="37"/>
        <v>14</v>
      </c>
      <c r="AQ26" s="396">
        <f t="shared" si="38"/>
        <v>15</v>
      </c>
      <c r="AR26" s="396">
        <f t="shared" si="39"/>
        <v>16</v>
      </c>
      <c r="AS26" s="396">
        <f t="shared" si="40"/>
        <v>17</v>
      </c>
      <c r="AT26" s="396">
        <f t="shared" si="41"/>
        <v>18</v>
      </c>
      <c r="AU26" s="396">
        <f t="shared" si="42"/>
        <v>19</v>
      </c>
      <c r="AV26" s="396">
        <f t="shared" si="43"/>
        <v>20</v>
      </c>
      <c r="AW26" s="396">
        <f t="shared" si="44"/>
        <v>21</v>
      </c>
      <c r="AX26" s="396">
        <f t="shared" si="45"/>
        <v>22</v>
      </c>
      <c r="AY26" s="396">
        <f t="shared" si="46"/>
        <v>23</v>
      </c>
      <c r="AZ26" s="396">
        <f t="shared" si="47"/>
        <v>24</v>
      </c>
      <c r="BA26" s="396">
        <f t="shared" si="48"/>
        <v>25</v>
      </c>
      <c r="BB26" s="396">
        <f t="shared" si="49"/>
        <v>26</v>
      </c>
      <c r="BC26" s="396">
        <f t="shared" si="50"/>
        <v>27</v>
      </c>
      <c r="BD26" s="396">
        <f t="shared" si="51"/>
        <v>28</v>
      </c>
      <c r="BE26" s="396">
        <f t="shared" si="52"/>
        <v>29</v>
      </c>
      <c r="BF26" s="396">
        <f t="shared" si="53"/>
        <v>30</v>
      </c>
      <c r="BG26" s="396">
        <f t="shared" si="54"/>
        <v>31</v>
      </c>
      <c r="BH26" s="396">
        <f t="shared" si="55"/>
        <v>32</v>
      </c>
      <c r="BI26" s="396">
        <f t="shared" si="56"/>
        <v>33</v>
      </c>
      <c r="BJ26" s="396">
        <f t="shared" si="57"/>
        <v>34</v>
      </c>
      <c r="BK26" s="396">
        <f t="shared" si="58"/>
        <v>35</v>
      </c>
      <c r="BL26" s="396">
        <f t="shared" si="59"/>
        <v>36</v>
      </c>
    </row>
    <row r="27" spans="1:64" ht="15">
      <c r="A27" s="375">
        <v>26</v>
      </c>
      <c r="B27" s="409">
        <f t="shared" si="61"/>
        <v>1</v>
      </c>
      <c r="C27" s="386"/>
      <c r="D27" s="411">
        <f t="shared" si="62"/>
        <v>-10</v>
      </c>
      <c r="E27" s="396">
        <f t="shared" si="0"/>
        <v>-10</v>
      </c>
      <c r="F27" s="396">
        <f t="shared" si="1"/>
        <v>-10</v>
      </c>
      <c r="G27" s="396">
        <f t="shared" si="2"/>
        <v>-10</v>
      </c>
      <c r="H27" s="396">
        <f t="shared" si="3"/>
        <v>-10</v>
      </c>
      <c r="I27" s="396">
        <f t="shared" si="4"/>
        <v>-10</v>
      </c>
      <c r="J27" s="396">
        <f t="shared" si="5"/>
        <v>-10</v>
      </c>
      <c r="K27" s="396">
        <f t="shared" si="6"/>
        <v>-10</v>
      </c>
      <c r="L27" s="396">
        <f t="shared" si="7"/>
        <v>-10</v>
      </c>
      <c r="M27" s="396">
        <f t="shared" si="8"/>
        <v>-10</v>
      </c>
      <c r="N27" s="396">
        <f t="shared" si="9"/>
        <v>-10</v>
      </c>
      <c r="O27" s="396">
        <f t="shared" si="10"/>
        <v>-10</v>
      </c>
      <c r="P27" s="396">
        <f t="shared" si="11"/>
        <v>-10</v>
      </c>
      <c r="Q27" s="396">
        <f t="shared" si="12"/>
        <v>-10</v>
      </c>
      <c r="R27" s="396">
        <f t="shared" si="13"/>
        <v>-10</v>
      </c>
      <c r="S27" s="396">
        <f t="shared" si="14"/>
        <v>-10</v>
      </c>
      <c r="T27" s="396">
        <f t="shared" si="15"/>
        <v>-9</v>
      </c>
      <c r="U27" s="396">
        <f t="shared" si="16"/>
        <v>-8</v>
      </c>
      <c r="V27" s="396">
        <f t="shared" si="17"/>
        <v>-7</v>
      </c>
      <c r="W27" s="396">
        <f t="shared" si="18"/>
        <v>-6</v>
      </c>
      <c r="X27" s="396">
        <f t="shared" si="19"/>
        <v>-5</v>
      </c>
      <c r="Y27" s="396">
        <f t="shared" si="20"/>
        <v>-4</v>
      </c>
      <c r="Z27" s="396">
        <f t="shared" si="21"/>
        <v>-3</v>
      </c>
      <c r="AA27" s="396">
        <f t="shared" si="22"/>
        <v>-2</v>
      </c>
      <c r="AB27" s="396">
        <f t="shared" si="23"/>
        <v>-1</v>
      </c>
      <c r="AC27" s="396">
        <f t="shared" si="24"/>
        <v>0</v>
      </c>
      <c r="AD27" s="396">
        <f t="shared" si="25"/>
        <v>1</v>
      </c>
      <c r="AE27" s="396">
        <f t="shared" si="26"/>
        <v>2</v>
      </c>
      <c r="AF27" s="396">
        <f t="shared" si="27"/>
        <v>3</v>
      </c>
      <c r="AG27" s="396">
        <f t="shared" si="28"/>
        <v>4</v>
      </c>
      <c r="AH27" s="396">
        <f t="shared" si="29"/>
        <v>5</v>
      </c>
      <c r="AI27" s="396">
        <f t="shared" si="30"/>
        <v>6</v>
      </c>
      <c r="AJ27" s="396">
        <f t="shared" si="31"/>
        <v>7</v>
      </c>
      <c r="AK27" s="396">
        <f t="shared" si="32"/>
        <v>8</v>
      </c>
      <c r="AL27" s="396">
        <f t="shared" si="33"/>
        <v>9</v>
      </c>
      <c r="AM27" s="396">
        <f t="shared" si="34"/>
        <v>10</v>
      </c>
      <c r="AN27" s="396">
        <f t="shared" si="35"/>
        <v>11</v>
      </c>
      <c r="AO27" s="396">
        <f t="shared" si="36"/>
        <v>12</v>
      </c>
      <c r="AP27" s="396">
        <f t="shared" si="37"/>
        <v>13</v>
      </c>
      <c r="AQ27" s="396">
        <f t="shared" si="38"/>
        <v>14</v>
      </c>
      <c r="AR27" s="396">
        <f t="shared" si="39"/>
        <v>15</v>
      </c>
      <c r="AS27" s="396">
        <f t="shared" si="40"/>
        <v>16</v>
      </c>
      <c r="AT27" s="396">
        <f t="shared" si="41"/>
        <v>17</v>
      </c>
      <c r="AU27" s="396">
        <f t="shared" si="42"/>
        <v>18</v>
      </c>
      <c r="AV27" s="396">
        <f t="shared" si="43"/>
        <v>19</v>
      </c>
      <c r="AW27" s="396">
        <f t="shared" si="44"/>
        <v>20</v>
      </c>
      <c r="AX27" s="396">
        <f t="shared" si="45"/>
        <v>21</v>
      </c>
      <c r="AY27" s="396">
        <f t="shared" si="46"/>
        <v>22</v>
      </c>
      <c r="AZ27" s="396">
        <f t="shared" si="47"/>
        <v>23</v>
      </c>
      <c r="BA27" s="396">
        <f t="shared" si="48"/>
        <v>24</v>
      </c>
      <c r="BB27" s="396">
        <f t="shared" si="49"/>
        <v>25</v>
      </c>
      <c r="BC27" s="396">
        <f t="shared" si="50"/>
        <v>26</v>
      </c>
      <c r="BD27" s="396">
        <f t="shared" si="51"/>
        <v>27</v>
      </c>
      <c r="BE27" s="396">
        <f t="shared" si="52"/>
        <v>28</v>
      </c>
      <c r="BF27" s="396">
        <f t="shared" si="53"/>
        <v>29</v>
      </c>
      <c r="BG27" s="396">
        <f t="shared" si="54"/>
        <v>30</v>
      </c>
      <c r="BH27" s="396">
        <f t="shared" si="55"/>
        <v>31</v>
      </c>
      <c r="BI27" s="396">
        <f t="shared" si="56"/>
        <v>32</v>
      </c>
      <c r="BJ27" s="396">
        <f t="shared" si="57"/>
        <v>33</v>
      </c>
      <c r="BK27" s="396">
        <f t="shared" si="58"/>
        <v>34</v>
      </c>
      <c r="BL27" s="396">
        <f t="shared" si="59"/>
        <v>35</v>
      </c>
    </row>
    <row r="28" spans="1:64" ht="15">
      <c r="A28" s="375">
        <v>27</v>
      </c>
      <c r="B28" s="409">
        <f t="shared" si="61"/>
        <v>1</v>
      </c>
      <c r="C28" s="386"/>
      <c r="D28" s="411">
        <f t="shared" si="62"/>
        <v>-11</v>
      </c>
      <c r="E28" s="396">
        <f t="shared" si="0"/>
        <v>-11</v>
      </c>
      <c r="F28" s="396">
        <f t="shared" si="1"/>
        <v>-11</v>
      </c>
      <c r="G28" s="396">
        <f t="shared" si="2"/>
        <v>-11</v>
      </c>
      <c r="H28" s="396">
        <f t="shared" si="3"/>
        <v>-11</v>
      </c>
      <c r="I28" s="396">
        <f t="shared" si="4"/>
        <v>-11</v>
      </c>
      <c r="J28" s="396">
        <f t="shared" si="5"/>
        <v>-11</v>
      </c>
      <c r="K28" s="396">
        <f t="shared" si="6"/>
        <v>-11</v>
      </c>
      <c r="L28" s="396">
        <f t="shared" si="7"/>
        <v>-11</v>
      </c>
      <c r="M28" s="396">
        <f t="shared" si="8"/>
        <v>-11</v>
      </c>
      <c r="N28" s="396">
        <f t="shared" si="9"/>
        <v>-11</v>
      </c>
      <c r="O28" s="396">
        <f t="shared" si="10"/>
        <v>-11</v>
      </c>
      <c r="P28" s="396">
        <f t="shared" si="11"/>
        <v>-11</v>
      </c>
      <c r="Q28" s="396">
        <f t="shared" si="12"/>
        <v>-11</v>
      </c>
      <c r="R28" s="396">
        <f t="shared" si="13"/>
        <v>-11</v>
      </c>
      <c r="S28" s="396">
        <f t="shared" si="14"/>
        <v>-11</v>
      </c>
      <c r="T28" s="396">
        <f t="shared" si="15"/>
        <v>-10</v>
      </c>
      <c r="U28" s="396">
        <f t="shared" si="16"/>
        <v>-9</v>
      </c>
      <c r="V28" s="396">
        <f t="shared" si="17"/>
        <v>-8</v>
      </c>
      <c r="W28" s="396">
        <f t="shared" si="18"/>
        <v>-7</v>
      </c>
      <c r="X28" s="396">
        <f t="shared" si="19"/>
        <v>-6</v>
      </c>
      <c r="Y28" s="396">
        <f t="shared" si="20"/>
        <v>-5</v>
      </c>
      <c r="Z28" s="396">
        <f t="shared" si="21"/>
        <v>-4</v>
      </c>
      <c r="AA28" s="396">
        <f t="shared" si="22"/>
        <v>-3</v>
      </c>
      <c r="AB28" s="396">
        <f t="shared" si="23"/>
        <v>-2</v>
      </c>
      <c r="AC28" s="396">
        <f t="shared" si="24"/>
        <v>-1</v>
      </c>
      <c r="AD28" s="396">
        <f t="shared" si="25"/>
        <v>0</v>
      </c>
      <c r="AE28" s="396">
        <f t="shared" si="26"/>
        <v>1</v>
      </c>
      <c r="AF28" s="396">
        <f t="shared" si="27"/>
        <v>2</v>
      </c>
      <c r="AG28" s="396">
        <f t="shared" si="28"/>
        <v>3</v>
      </c>
      <c r="AH28" s="396">
        <f t="shared" si="29"/>
        <v>4</v>
      </c>
      <c r="AI28" s="396">
        <f t="shared" si="30"/>
        <v>5</v>
      </c>
      <c r="AJ28" s="396">
        <f t="shared" si="31"/>
        <v>6</v>
      </c>
      <c r="AK28" s="396">
        <f t="shared" si="32"/>
        <v>7</v>
      </c>
      <c r="AL28" s="396">
        <f t="shared" si="33"/>
        <v>8</v>
      </c>
      <c r="AM28" s="396">
        <f t="shared" si="34"/>
        <v>9</v>
      </c>
      <c r="AN28" s="396">
        <f t="shared" si="35"/>
        <v>10</v>
      </c>
      <c r="AO28" s="396">
        <f t="shared" si="36"/>
        <v>11</v>
      </c>
      <c r="AP28" s="396">
        <f t="shared" si="37"/>
        <v>12</v>
      </c>
      <c r="AQ28" s="396">
        <f t="shared" si="38"/>
        <v>13</v>
      </c>
      <c r="AR28" s="396">
        <f t="shared" si="39"/>
        <v>14</v>
      </c>
      <c r="AS28" s="396">
        <f t="shared" si="40"/>
        <v>15</v>
      </c>
      <c r="AT28" s="396">
        <f t="shared" si="41"/>
        <v>16</v>
      </c>
      <c r="AU28" s="396">
        <f t="shared" si="42"/>
        <v>17</v>
      </c>
      <c r="AV28" s="396">
        <f t="shared" si="43"/>
        <v>18</v>
      </c>
      <c r="AW28" s="396">
        <f t="shared" si="44"/>
        <v>19</v>
      </c>
      <c r="AX28" s="396">
        <f t="shared" si="45"/>
        <v>20</v>
      </c>
      <c r="AY28" s="396">
        <f t="shared" si="46"/>
        <v>21</v>
      </c>
      <c r="AZ28" s="396">
        <f t="shared" si="47"/>
        <v>22</v>
      </c>
      <c r="BA28" s="396">
        <f t="shared" si="48"/>
        <v>23</v>
      </c>
      <c r="BB28" s="396">
        <f t="shared" si="49"/>
        <v>24</v>
      </c>
      <c r="BC28" s="396">
        <f t="shared" si="50"/>
        <v>25</v>
      </c>
      <c r="BD28" s="396">
        <f t="shared" si="51"/>
        <v>26</v>
      </c>
      <c r="BE28" s="396">
        <f t="shared" si="52"/>
        <v>27</v>
      </c>
      <c r="BF28" s="396">
        <f t="shared" si="53"/>
        <v>28</v>
      </c>
      <c r="BG28" s="396">
        <f t="shared" si="54"/>
        <v>29</v>
      </c>
      <c r="BH28" s="396">
        <f t="shared" si="55"/>
        <v>30</v>
      </c>
      <c r="BI28" s="396">
        <f t="shared" si="56"/>
        <v>31</v>
      </c>
      <c r="BJ28" s="396">
        <f t="shared" si="57"/>
        <v>32</v>
      </c>
      <c r="BK28" s="396">
        <f t="shared" si="58"/>
        <v>33</v>
      </c>
      <c r="BL28" s="396">
        <f t="shared" si="59"/>
        <v>34</v>
      </c>
    </row>
    <row r="29" spans="1:64" ht="15">
      <c r="A29" s="375">
        <v>28</v>
      </c>
      <c r="B29" s="409">
        <f t="shared" si="61"/>
        <v>1</v>
      </c>
      <c r="C29" s="386"/>
      <c r="D29" s="411">
        <f t="shared" si="62"/>
        <v>-12</v>
      </c>
      <c r="E29" s="396">
        <f t="shared" si="0"/>
        <v>-12</v>
      </c>
      <c r="F29" s="396">
        <f t="shared" si="1"/>
        <v>-12</v>
      </c>
      <c r="G29" s="396">
        <f t="shared" si="2"/>
        <v>-12</v>
      </c>
      <c r="H29" s="396">
        <f t="shared" si="3"/>
        <v>-12</v>
      </c>
      <c r="I29" s="396">
        <f t="shared" si="4"/>
        <v>-12</v>
      </c>
      <c r="J29" s="396">
        <f t="shared" si="5"/>
        <v>-12</v>
      </c>
      <c r="K29" s="396">
        <f t="shared" si="6"/>
        <v>-12</v>
      </c>
      <c r="L29" s="396">
        <f t="shared" si="7"/>
        <v>-12</v>
      </c>
      <c r="M29" s="396">
        <f t="shared" si="8"/>
        <v>-12</v>
      </c>
      <c r="N29" s="396">
        <f t="shared" si="9"/>
        <v>-12</v>
      </c>
      <c r="O29" s="396">
        <f t="shared" si="10"/>
        <v>-12</v>
      </c>
      <c r="P29" s="396">
        <f t="shared" si="11"/>
        <v>-12</v>
      </c>
      <c r="Q29" s="396">
        <f t="shared" si="12"/>
        <v>-12</v>
      </c>
      <c r="R29" s="396">
        <f t="shared" si="13"/>
        <v>-12</v>
      </c>
      <c r="S29" s="396">
        <f t="shared" si="14"/>
        <v>-12</v>
      </c>
      <c r="T29" s="396">
        <f t="shared" si="15"/>
        <v>-11</v>
      </c>
      <c r="U29" s="396">
        <f t="shared" si="16"/>
        <v>-10</v>
      </c>
      <c r="V29" s="396">
        <f t="shared" si="17"/>
        <v>-9</v>
      </c>
      <c r="W29" s="396">
        <f t="shared" si="18"/>
        <v>-8</v>
      </c>
      <c r="X29" s="396">
        <f t="shared" si="19"/>
        <v>-7</v>
      </c>
      <c r="Y29" s="396">
        <f t="shared" si="20"/>
        <v>-6</v>
      </c>
      <c r="Z29" s="396">
        <f t="shared" si="21"/>
        <v>-5</v>
      </c>
      <c r="AA29" s="396">
        <f t="shared" si="22"/>
        <v>-4</v>
      </c>
      <c r="AB29" s="396">
        <f t="shared" si="23"/>
        <v>-3</v>
      </c>
      <c r="AC29" s="396">
        <f t="shared" si="24"/>
        <v>-2</v>
      </c>
      <c r="AD29" s="396">
        <f t="shared" si="25"/>
        <v>-1</v>
      </c>
      <c r="AE29" s="396">
        <f t="shared" si="26"/>
        <v>0</v>
      </c>
      <c r="AF29" s="396">
        <f t="shared" si="27"/>
        <v>1</v>
      </c>
      <c r="AG29" s="396">
        <f t="shared" si="28"/>
        <v>2</v>
      </c>
      <c r="AH29" s="396">
        <f t="shared" si="29"/>
        <v>3</v>
      </c>
      <c r="AI29" s="396">
        <f t="shared" si="30"/>
        <v>4</v>
      </c>
      <c r="AJ29" s="396">
        <f t="shared" si="31"/>
        <v>5</v>
      </c>
      <c r="AK29" s="396">
        <f t="shared" si="32"/>
        <v>6</v>
      </c>
      <c r="AL29" s="396">
        <f t="shared" si="33"/>
        <v>7</v>
      </c>
      <c r="AM29" s="396">
        <f t="shared" si="34"/>
        <v>8</v>
      </c>
      <c r="AN29" s="396">
        <f t="shared" si="35"/>
        <v>9</v>
      </c>
      <c r="AO29" s="396">
        <f t="shared" si="36"/>
        <v>10</v>
      </c>
      <c r="AP29" s="396">
        <f t="shared" si="37"/>
        <v>11</v>
      </c>
      <c r="AQ29" s="396">
        <f t="shared" si="38"/>
        <v>12</v>
      </c>
      <c r="AR29" s="396">
        <f t="shared" si="39"/>
        <v>13</v>
      </c>
      <c r="AS29" s="396">
        <f t="shared" si="40"/>
        <v>14</v>
      </c>
      <c r="AT29" s="396">
        <f t="shared" si="41"/>
        <v>15</v>
      </c>
      <c r="AU29" s="396">
        <f t="shared" si="42"/>
        <v>16</v>
      </c>
      <c r="AV29" s="396">
        <f t="shared" si="43"/>
        <v>17</v>
      </c>
      <c r="AW29" s="396">
        <f t="shared" si="44"/>
        <v>18</v>
      </c>
      <c r="AX29" s="396">
        <f t="shared" si="45"/>
        <v>19</v>
      </c>
      <c r="AY29" s="396">
        <f t="shared" si="46"/>
        <v>20</v>
      </c>
      <c r="AZ29" s="396">
        <f t="shared" si="47"/>
        <v>21</v>
      </c>
      <c r="BA29" s="396">
        <f t="shared" si="48"/>
        <v>22</v>
      </c>
      <c r="BB29" s="396">
        <f t="shared" si="49"/>
        <v>23</v>
      </c>
      <c r="BC29" s="396">
        <f t="shared" si="50"/>
        <v>24</v>
      </c>
      <c r="BD29" s="396">
        <f t="shared" si="51"/>
        <v>25</v>
      </c>
      <c r="BE29" s="396">
        <f t="shared" si="52"/>
        <v>26</v>
      </c>
      <c r="BF29" s="396">
        <f t="shared" si="53"/>
        <v>27</v>
      </c>
      <c r="BG29" s="396">
        <f t="shared" si="54"/>
        <v>28</v>
      </c>
      <c r="BH29" s="396">
        <f t="shared" si="55"/>
        <v>29</v>
      </c>
      <c r="BI29" s="396">
        <f t="shared" si="56"/>
        <v>30</v>
      </c>
      <c r="BJ29" s="396">
        <f t="shared" si="57"/>
        <v>31</v>
      </c>
      <c r="BK29" s="396">
        <f t="shared" si="58"/>
        <v>32</v>
      </c>
      <c r="BL29" s="396">
        <f t="shared" si="59"/>
        <v>33</v>
      </c>
    </row>
    <row r="30" spans="1:64" ht="15">
      <c r="A30" s="375">
        <v>29</v>
      </c>
      <c r="B30" s="409">
        <f t="shared" si="61"/>
        <v>1</v>
      </c>
      <c r="C30" s="386"/>
      <c r="D30" s="411">
        <f t="shared" si="62"/>
        <v>-13</v>
      </c>
      <c r="E30" s="396">
        <f t="shared" si="0"/>
        <v>-13</v>
      </c>
      <c r="F30" s="396">
        <f t="shared" si="1"/>
        <v>-13</v>
      </c>
      <c r="G30" s="396">
        <f t="shared" si="2"/>
        <v>-13</v>
      </c>
      <c r="H30" s="396">
        <f t="shared" si="3"/>
        <v>-13</v>
      </c>
      <c r="I30" s="396">
        <f t="shared" si="4"/>
        <v>-13</v>
      </c>
      <c r="J30" s="396">
        <f t="shared" si="5"/>
        <v>-13</v>
      </c>
      <c r="K30" s="396">
        <f t="shared" si="6"/>
        <v>-13</v>
      </c>
      <c r="L30" s="396">
        <f t="shared" si="7"/>
        <v>-13</v>
      </c>
      <c r="M30" s="396">
        <f t="shared" si="8"/>
        <v>-13</v>
      </c>
      <c r="N30" s="396">
        <f t="shared" si="9"/>
        <v>-13</v>
      </c>
      <c r="O30" s="396">
        <f t="shared" si="10"/>
        <v>-13</v>
      </c>
      <c r="P30" s="396">
        <f t="shared" si="11"/>
        <v>-13</v>
      </c>
      <c r="Q30" s="396">
        <f t="shared" si="12"/>
        <v>-13</v>
      </c>
      <c r="R30" s="396">
        <f t="shared" si="13"/>
        <v>-13</v>
      </c>
      <c r="S30" s="396">
        <f t="shared" si="14"/>
        <v>-13</v>
      </c>
      <c r="T30" s="396">
        <f t="shared" si="15"/>
        <v>-12</v>
      </c>
      <c r="U30" s="396">
        <f t="shared" si="16"/>
        <v>-11</v>
      </c>
      <c r="V30" s="396">
        <f t="shared" si="17"/>
        <v>-10</v>
      </c>
      <c r="W30" s="396">
        <f t="shared" si="18"/>
        <v>-9</v>
      </c>
      <c r="X30" s="396">
        <f t="shared" si="19"/>
        <v>-8</v>
      </c>
      <c r="Y30" s="396">
        <f t="shared" si="20"/>
        <v>-7</v>
      </c>
      <c r="Z30" s="396">
        <f t="shared" si="21"/>
        <v>-6</v>
      </c>
      <c r="AA30" s="396">
        <f t="shared" si="22"/>
        <v>-5</v>
      </c>
      <c r="AB30" s="396">
        <f t="shared" si="23"/>
        <v>-4</v>
      </c>
      <c r="AC30" s="396">
        <f t="shared" si="24"/>
        <v>-3</v>
      </c>
      <c r="AD30" s="396">
        <f t="shared" si="25"/>
        <v>-2</v>
      </c>
      <c r="AE30" s="396">
        <f t="shared" si="26"/>
        <v>-1</v>
      </c>
      <c r="AF30" s="396">
        <f t="shared" si="27"/>
        <v>0</v>
      </c>
      <c r="AG30" s="396">
        <f t="shared" si="28"/>
        <v>1</v>
      </c>
      <c r="AH30" s="396">
        <f t="shared" si="29"/>
        <v>2</v>
      </c>
      <c r="AI30" s="396">
        <f t="shared" si="30"/>
        <v>3</v>
      </c>
      <c r="AJ30" s="396">
        <f t="shared" si="31"/>
        <v>4</v>
      </c>
      <c r="AK30" s="396">
        <f t="shared" si="32"/>
        <v>5</v>
      </c>
      <c r="AL30" s="396">
        <f t="shared" si="33"/>
        <v>6</v>
      </c>
      <c r="AM30" s="396">
        <f t="shared" si="34"/>
        <v>7</v>
      </c>
      <c r="AN30" s="396">
        <f t="shared" si="35"/>
        <v>8</v>
      </c>
      <c r="AO30" s="396">
        <f t="shared" si="36"/>
        <v>9</v>
      </c>
      <c r="AP30" s="396">
        <f t="shared" si="37"/>
        <v>10</v>
      </c>
      <c r="AQ30" s="396">
        <f t="shared" si="38"/>
        <v>11</v>
      </c>
      <c r="AR30" s="396">
        <f t="shared" si="39"/>
        <v>12</v>
      </c>
      <c r="AS30" s="396">
        <f t="shared" si="40"/>
        <v>13</v>
      </c>
      <c r="AT30" s="396">
        <f t="shared" si="41"/>
        <v>14</v>
      </c>
      <c r="AU30" s="396">
        <f t="shared" si="42"/>
        <v>15</v>
      </c>
      <c r="AV30" s="396">
        <f t="shared" si="43"/>
        <v>16</v>
      </c>
      <c r="AW30" s="396">
        <f t="shared" si="44"/>
        <v>17</v>
      </c>
      <c r="AX30" s="396">
        <f t="shared" si="45"/>
        <v>18</v>
      </c>
      <c r="AY30" s="396">
        <f t="shared" si="46"/>
        <v>19</v>
      </c>
      <c r="AZ30" s="396">
        <f t="shared" si="47"/>
        <v>20</v>
      </c>
      <c r="BA30" s="396">
        <f t="shared" si="48"/>
        <v>21</v>
      </c>
      <c r="BB30" s="396">
        <f t="shared" si="49"/>
        <v>22</v>
      </c>
      <c r="BC30" s="396">
        <f t="shared" si="50"/>
        <v>23</v>
      </c>
      <c r="BD30" s="396">
        <f t="shared" si="51"/>
        <v>24</v>
      </c>
      <c r="BE30" s="396">
        <f t="shared" si="52"/>
        <v>25</v>
      </c>
      <c r="BF30" s="396">
        <f t="shared" si="53"/>
        <v>26</v>
      </c>
      <c r="BG30" s="396">
        <f t="shared" si="54"/>
        <v>27</v>
      </c>
      <c r="BH30" s="396">
        <f t="shared" si="55"/>
        <v>28</v>
      </c>
      <c r="BI30" s="396">
        <f t="shared" si="56"/>
        <v>29</v>
      </c>
      <c r="BJ30" s="396">
        <f t="shared" si="57"/>
        <v>30</v>
      </c>
      <c r="BK30" s="396">
        <f t="shared" si="58"/>
        <v>31</v>
      </c>
      <c r="BL30" s="396">
        <f t="shared" si="59"/>
        <v>32</v>
      </c>
    </row>
    <row r="31" spans="1:64" ht="15">
      <c r="A31" s="375">
        <v>30</v>
      </c>
      <c r="B31" s="409">
        <f t="shared" si="61"/>
        <v>1</v>
      </c>
      <c r="C31" s="386"/>
      <c r="D31" s="411">
        <f t="shared" si="62"/>
        <v>-14</v>
      </c>
      <c r="E31" s="396">
        <f t="shared" si="0"/>
        <v>-14</v>
      </c>
      <c r="F31" s="396">
        <f t="shared" si="1"/>
        <v>-14</v>
      </c>
      <c r="G31" s="396">
        <f t="shared" si="2"/>
        <v>-14</v>
      </c>
      <c r="H31" s="396">
        <f t="shared" si="3"/>
        <v>-14</v>
      </c>
      <c r="I31" s="396">
        <f t="shared" si="4"/>
        <v>-14</v>
      </c>
      <c r="J31" s="396">
        <f t="shared" si="5"/>
        <v>-14</v>
      </c>
      <c r="K31" s="396">
        <f t="shared" si="6"/>
        <v>-14</v>
      </c>
      <c r="L31" s="396">
        <f t="shared" si="7"/>
        <v>-14</v>
      </c>
      <c r="M31" s="396">
        <f t="shared" si="8"/>
        <v>-14</v>
      </c>
      <c r="N31" s="396">
        <f t="shared" si="9"/>
        <v>-14</v>
      </c>
      <c r="O31" s="396">
        <f t="shared" si="10"/>
        <v>-14</v>
      </c>
      <c r="P31" s="396">
        <f t="shared" si="11"/>
        <v>-14</v>
      </c>
      <c r="Q31" s="396">
        <f t="shared" si="12"/>
        <v>-14</v>
      </c>
      <c r="R31" s="396">
        <f t="shared" si="13"/>
        <v>-14</v>
      </c>
      <c r="S31" s="396">
        <f t="shared" si="14"/>
        <v>-14</v>
      </c>
      <c r="T31" s="396">
        <f t="shared" si="15"/>
        <v>-13</v>
      </c>
      <c r="U31" s="396">
        <f t="shared" si="16"/>
        <v>-12</v>
      </c>
      <c r="V31" s="396">
        <f t="shared" si="17"/>
        <v>-11</v>
      </c>
      <c r="W31" s="396">
        <f t="shared" si="18"/>
        <v>-10</v>
      </c>
      <c r="X31" s="396">
        <f t="shared" si="19"/>
        <v>-9</v>
      </c>
      <c r="Y31" s="396">
        <f t="shared" si="20"/>
        <v>-8</v>
      </c>
      <c r="Z31" s="396">
        <f t="shared" si="21"/>
        <v>-7</v>
      </c>
      <c r="AA31" s="396">
        <f t="shared" si="22"/>
        <v>-6</v>
      </c>
      <c r="AB31" s="396">
        <f t="shared" si="23"/>
        <v>-5</v>
      </c>
      <c r="AC31" s="396">
        <f t="shared" si="24"/>
        <v>-4</v>
      </c>
      <c r="AD31" s="396">
        <f t="shared" si="25"/>
        <v>-3</v>
      </c>
      <c r="AE31" s="396">
        <f t="shared" si="26"/>
        <v>-2</v>
      </c>
      <c r="AF31" s="396">
        <f t="shared" si="27"/>
        <v>-1</v>
      </c>
      <c r="AG31" s="396">
        <f t="shared" si="28"/>
        <v>0</v>
      </c>
      <c r="AH31" s="396">
        <f t="shared" si="29"/>
        <v>1</v>
      </c>
      <c r="AI31" s="396">
        <f t="shared" si="30"/>
        <v>2</v>
      </c>
      <c r="AJ31" s="396">
        <f t="shared" si="31"/>
        <v>3</v>
      </c>
      <c r="AK31" s="396">
        <f t="shared" si="32"/>
        <v>4</v>
      </c>
      <c r="AL31" s="396">
        <f t="shared" si="33"/>
        <v>5</v>
      </c>
      <c r="AM31" s="396">
        <f t="shared" si="34"/>
        <v>6</v>
      </c>
      <c r="AN31" s="396">
        <f t="shared" si="35"/>
        <v>7</v>
      </c>
      <c r="AO31" s="396">
        <f t="shared" si="36"/>
        <v>8</v>
      </c>
      <c r="AP31" s="396">
        <f t="shared" si="37"/>
        <v>9</v>
      </c>
      <c r="AQ31" s="396">
        <f t="shared" si="38"/>
        <v>10</v>
      </c>
      <c r="AR31" s="396">
        <f t="shared" si="39"/>
        <v>11</v>
      </c>
      <c r="AS31" s="396">
        <f t="shared" si="40"/>
        <v>12</v>
      </c>
      <c r="AT31" s="396">
        <f t="shared" si="41"/>
        <v>13</v>
      </c>
      <c r="AU31" s="396">
        <f t="shared" si="42"/>
        <v>14</v>
      </c>
      <c r="AV31" s="396">
        <f t="shared" si="43"/>
        <v>15</v>
      </c>
      <c r="AW31" s="396">
        <f t="shared" si="44"/>
        <v>16</v>
      </c>
      <c r="AX31" s="396">
        <f t="shared" si="45"/>
        <v>17</v>
      </c>
      <c r="AY31" s="396">
        <f t="shared" si="46"/>
        <v>18</v>
      </c>
      <c r="AZ31" s="396">
        <f t="shared" si="47"/>
        <v>19</v>
      </c>
      <c r="BA31" s="396">
        <f t="shared" si="48"/>
        <v>20</v>
      </c>
      <c r="BB31" s="396">
        <f t="shared" si="49"/>
        <v>21</v>
      </c>
      <c r="BC31" s="396">
        <f t="shared" si="50"/>
        <v>22</v>
      </c>
      <c r="BD31" s="396">
        <f t="shared" si="51"/>
        <v>23</v>
      </c>
      <c r="BE31" s="396">
        <f t="shared" si="52"/>
        <v>24</v>
      </c>
      <c r="BF31" s="396">
        <f t="shared" si="53"/>
        <v>25</v>
      </c>
      <c r="BG31" s="396">
        <f t="shared" si="54"/>
        <v>26</v>
      </c>
      <c r="BH31" s="396">
        <f t="shared" si="55"/>
        <v>27</v>
      </c>
      <c r="BI31" s="396">
        <f t="shared" si="56"/>
        <v>28</v>
      </c>
      <c r="BJ31" s="396">
        <f t="shared" si="57"/>
        <v>29</v>
      </c>
      <c r="BK31" s="396">
        <f t="shared" si="58"/>
        <v>30</v>
      </c>
      <c r="BL31" s="396">
        <f t="shared" si="59"/>
        <v>31</v>
      </c>
    </row>
    <row r="32" spans="1:64" ht="15">
      <c r="A32" s="375">
        <v>31</v>
      </c>
      <c r="B32" s="409">
        <f t="shared" si="61"/>
        <v>1</v>
      </c>
      <c r="C32" s="386"/>
      <c r="D32" s="411">
        <f t="shared" si="62"/>
        <v>-15</v>
      </c>
      <c r="E32" s="396">
        <f t="shared" si="0"/>
        <v>-15</v>
      </c>
      <c r="F32" s="396">
        <f t="shared" si="1"/>
        <v>-15</v>
      </c>
      <c r="G32" s="396">
        <f t="shared" si="2"/>
        <v>-15</v>
      </c>
      <c r="H32" s="396">
        <f t="shared" si="3"/>
        <v>-15</v>
      </c>
      <c r="I32" s="396">
        <f t="shared" si="4"/>
        <v>-15</v>
      </c>
      <c r="J32" s="396">
        <f t="shared" si="5"/>
        <v>-15</v>
      </c>
      <c r="K32" s="396">
        <f t="shared" si="6"/>
        <v>-15</v>
      </c>
      <c r="L32" s="396">
        <f t="shared" si="7"/>
        <v>-15</v>
      </c>
      <c r="M32" s="396">
        <f t="shared" si="8"/>
        <v>-15</v>
      </c>
      <c r="N32" s="396">
        <f t="shared" si="9"/>
        <v>-15</v>
      </c>
      <c r="O32" s="396">
        <f t="shared" si="10"/>
        <v>-15</v>
      </c>
      <c r="P32" s="396">
        <f t="shared" si="11"/>
        <v>-15</v>
      </c>
      <c r="Q32" s="396">
        <f t="shared" si="12"/>
        <v>-15</v>
      </c>
      <c r="R32" s="396">
        <f t="shared" si="13"/>
        <v>-15</v>
      </c>
      <c r="S32" s="396">
        <f t="shared" si="14"/>
        <v>-15</v>
      </c>
      <c r="T32" s="396">
        <f t="shared" si="15"/>
        <v>-14</v>
      </c>
      <c r="U32" s="396">
        <f t="shared" si="16"/>
        <v>-13</v>
      </c>
      <c r="V32" s="396">
        <f t="shared" si="17"/>
        <v>-12</v>
      </c>
      <c r="W32" s="396">
        <f t="shared" si="18"/>
        <v>-11</v>
      </c>
      <c r="X32" s="396">
        <f t="shared" si="19"/>
        <v>-10</v>
      </c>
      <c r="Y32" s="396">
        <f t="shared" si="20"/>
        <v>-9</v>
      </c>
      <c r="Z32" s="396">
        <f t="shared" si="21"/>
        <v>-8</v>
      </c>
      <c r="AA32" s="396">
        <f t="shared" si="22"/>
        <v>-7</v>
      </c>
      <c r="AB32" s="396">
        <f t="shared" si="23"/>
        <v>-6</v>
      </c>
      <c r="AC32" s="396">
        <f t="shared" si="24"/>
        <v>-5</v>
      </c>
      <c r="AD32" s="396">
        <f t="shared" si="25"/>
        <v>-4</v>
      </c>
      <c r="AE32" s="396">
        <f t="shared" si="26"/>
        <v>-3</v>
      </c>
      <c r="AF32" s="396">
        <f t="shared" si="27"/>
        <v>-2</v>
      </c>
      <c r="AG32" s="396">
        <f t="shared" si="28"/>
        <v>-1</v>
      </c>
      <c r="AH32" s="396">
        <f t="shared" si="29"/>
        <v>0</v>
      </c>
      <c r="AI32" s="396">
        <f t="shared" si="30"/>
        <v>1</v>
      </c>
      <c r="AJ32" s="396">
        <f t="shared" si="31"/>
        <v>2</v>
      </c>
      <c r="AK32" s="396">
        <f t="shared" si="32"/>
        <v>3</v>
      </c>
      <c r="AL32" s="396">
        <f t="shared" si="33"/>
        <v>4</v>
      </c>
      <c r="AM32" s="396">
        <f t="shared" si="34"/>
        <v>5</v>
      </c>
      <c r="AN32" s="396">
        <f t="shared" si="35"/>
        <v>6</v>
      </c>
      <c r="AO32" s="396">
        <f t="shared" si="36"/>
        <v>7</v>
      </c>
      <c r="AP32" s="396">
        <f t="shared" si="37"/>
        <v>8</v>
      </c>
      <c r="AQ32" s="396">
        <f t="shared" si="38"/>
        <v>9</v>
      </c>
      <c r="AR32" s="396">
        <f t="shared" si="39"/>
        <v>10</v>
      </c>
      <c r="AS32" s="396">
        <f t="shared" si="40"/>
        <v>11</v>
      </c>
      <c r="AT32" s="396">
        <f t="shared" si="41"/>
        <v>12</v>
      </c>
      <c r="AU32" s="396">
        <f t="shared" si="42"/>
        <v>13</v>
      </c>
      <c r="AV32" s="396">
        <f t="shared" si="43"/>
        <v>14</v>
      </c>
      <c r="AW32" s="396">
        <f t="shared" si="44"/>
        <v>15</v>
      </c>
      <c r="AX32" s="396">
        <f t="shared" si="45"/>
        <v>16</v>
      </c>
      <c r="AY32" s="396">
        <f t="shared" si="46"/>
        <v>17</v>
      </c>
      <c r="AZ32" s="396">
        <f t="shared" si="47"/>
        <v>18</v>
      </c>
      <c r="BA32" s="396">
        <f t="shared" si="48"/>
        <v>19</v>
      </c>
      <c r="BB32" s="396">
        <f t="shared" si="49"/>
        <v>20</v>
      </c>
      <c r="BC32" s="396">
        <f t="shared" si="50"/>
        <v>21</v>
      </c>
      <c r="BD32" s="396">
        <f t="shared" si="51"/>
        <v>22</v>
      </c>
      <c r="BE32" s="396">
        <f t="shared" si="52"/>
        <v>23</v>
      </c>
      <c r="BF32" s="396">
        <f t="shared" si="53"/>
        <v>24</v>
      </c>
      <c r="BG32" s="396">
        <f t="shared" si="54"/>
        <v>25</v>
      </c>
      <c r="BH32" s="396">
        <f t="shared" si="55"/>
        <v>26</v>
      </c>
      <c r="BI32" s="396">
        <f t="shared" si="56"/>
        <v>27</v>
      </c>
      <c r="BJ32" s="396">
        <f t="shared" si="57"/>
        <v>28</v>
      </c>
      <c r="BK32" s="396">
        <f t="shared" si="58"/>
        <v>29</v>
      </c>
      <c r="BL32" s="396">
        <f t="shared" si="59"/>
        <v>30</v>
      </c>
    </row>
    <row r="33" spans="1:64" ht="15">
      <c r="A33" s="375">
        <v>32</v>
      </c>
      <c r="B33" s="409">
        <f t="shared" si="61"/>
        <v>1</v>
      </c>
      <c r="C33" s="386"/>
      <c r="D33" s="411">
        <f t="shared" si="62"/>
        <v>-16</v>
      </c>
      <c r="E33" s="396">
        <f t="shared" si="0"/>
        <v>-16</v>
      </c>
      <c r="F33" s="396">
        <f t="shared" si="1"/>
        <v>-16</v>
      </c>
      <c r="G33" s="396">
        <f t="shared" si="2"/>
        <v>-16</v>
      </c>
      <c r="H33" s="396">
        <f t="shared" si="3"/>
        <v>-16</v>
      </c>
      <c r="I33" s="396">
        <f t="shared" si="4"/>
        <v>-16</v>
      </c>
      <c r="J33" s="396">
        <f t="shared" si="5"/>
        <v>-16</v>
      </c>
      <c r="K33" s="396">
        <f t="shared" si="6"/>
        <v>-16</v>
      </c>
      <c r="L33" s="396">
        <f t="shared" si="7"/>
        <v>-16</v>
      </c>
      <c r="M33" s="396">
        <f t="shared" si="8"/>
        <v>-16</v>
      </c>
      <c r="N33" s="396">
        <f t="shared" si="9"/>
        <v>-16</v>
      </c>
      <c r="O33" s="396">
        <f t="shared" si="10"/>
        <v>-16</v>
      </c>
      <c r="P33" s="396">
        <f t="shared" si="11"/>
        <v>-16</v>
      </c>
      <c r="Q33" s="396">
        <f t="shared" si="12"/>
        <v>-16</v>
      </c>
      <c r="R33" s="396">
        <f t="shared" si="13"/>
        <v>-16</v>
      </c>
      <c r="S33" s="396">
        <f t="shared" si="14"/>
        <v>-16</v>
      </c>
      <c r="T33" s="396">
        <f t="shared" si="15"/>
        <v>-15</v>
      </c>
      <c r="U33" s="396">
        <f t="shared" si="16"/>
        <v>-14</v>
      </c>
      <c r="V33" s="396">
        <f t="shared" si="17"/>
        <v>-13</v>
      </c>
      <c r="W33" s="396">
        <f t="shared" si="18"/>
        <v>-12</v>
      </c>
      <c r="X33" s="396">
        <f t="shared" si="19"/>
        <v>-11</v>
      </c>
      <c r="Y33" s="396">
        <f t="shared" si="20"/>
        <v>-10</v>
      </c>
      <c r="Z33" s="396">
        <f t="shared" si="21"/>
        <v>-9</v>
      </c>
      <c r="AA33" s="396">
        <f t="shared" si="22"/>
        <v>-8</v>
      </c>
      <c r="AB33" s="396">
        <f t="shared" si="23"/>
        <v>-7</v>
      </c>
      <c r="AC33" s="396">
        <f t="shared" si="24"/>
        <v>-6</v>
      </c>
      <c r="AD33" s="396">
        <f t="shared" si="25"/>
        <v>-5</v>
      </c>
      <c r="AE33" s="396">
        <f t="shared" si="26"/>
        <v>-4</v>
      </c>
      <c r="AF33" s="396">
        <f t="shared" si="27"/>
        <v>-3</v>
      </c>
      <c r="AG33" s="396">
        <f t="shared" si="28"/>
        <v>-2</v>
      </c>
      <c r="AH33" s="396">
        <f t="shared" si="29"/>
        <v>-1</v>
      </c>
      <c r="AI33" s="396">
        <f t="shared" si="30"/>
        <v>0</v>
      </c>
      <c r="AJ33" s="396">
        <f t="shared" si="31"/>
        <v>1</v>
      </c>
      <c r="AK33" s="396">
        <f t="shared" si="32"/>
        <v>2</v>
      </c>
      <c r="AL33" s="396">
        <f t="shared" si="33"/>
        <v>3</v>
      </c>
      <c r="AM33" s="396">
        <f t="shared" si="34"/>
        <v>4</v>
      </c>
      <c r="AN33" s="396">
        <f t="shared" si="35"/>
        <v>5</v>
      </c>
      <c r="AO33" s="396">
        <f t="shared" si="36"/>
        <v>6</v>
      </c>
      <c r="AP33" s="396">
        <f t="shared" si="37"/>
        <v>7</v>
      </c>
      <c r="AQ33" s="396">
        <f t="shared" si="38"/>
        <v>8</v>
      </c>
      <c r="AR33" s="396">
        <f t="shared" si="39"/>
        <v>9</v>
      </c>
      <c r="AS33" s="396">
        <f t="shared" si="40"/>
        <v>10</v>
      </c>
      <c r="AT33" s="396">
        <f t="shared" si="41"/>
        <v>11</v>
      </c>
      <c r="AU33" s="396">
        <f t="shared" si="42"/>
        <v>12</v>
      </c>
      <c r="AV33" s="396">
        <f t="shared" si="43"/>
        <v>13</v>
      </c>
      <c r="AW33" s="396">
        <f t="shared" si="44"/>
        <v>14</v>
      </c>
      <c r="AX33" s="396">
        <f t="shared" si="45"/>
        <v>15</v>
      </c>
      <c r="AY33" s="396">
        <f t="shared" si="46"/>
        <v>16</v>
      </c>
      <c r="AZ33" s="396">
        <f t="shared" si="47"/>
        <v>17</v>
      </c>
      <c r="BA33" s="396">
        <f t="shared" si="48"/>
        <v>18</v>
      </c>
      <c r="BB33" s="396">
        <f t="shared" si="49"/>
        <v>19</v>
      </c>
      <c r="BC33" s="396">
        <f t="shared" si="50"/>
        <v>20</v>
      </c>
      <c r="BD33" s="396">
        <f t="shared" si="51"/>
        <v>21</v>
      </c>
      <c r="BE33" s="396">
        <f t="shared" si="52"/>
        <v>22</v>
      </c>
      <c r="BF33" s="396">
        <f t="shared" si="53"/>
        <v>23</v>
      </c>
      <c r="BG33" s="396">
        <f t="shared" si="54"/>
        <v>24</v>
      </c>
      <c r="BH33" s="396">
        <f t="shared" si="55"/>
        <v>25</v>
      </c>
      <c r="BI33" s="396">
        <f t="shared" si="56"/>
        <v>26</v>
      </c>
      <c r="BJ33" s="396">
        <f t="shared" si="57"/>
        <v>27</v>
      </c>
      <c r="BK33" s="396">
        <f t="shared" si="58"/>
        <v>28</v>
      </c>
      <c r="BL33" s="396">
        <f t="shared" si="59"/>
        <v>29</v>
      </c>
    </row>
    <row r="34" spans="1:64" ht="15">
      <c r="A34" s="375">
        <v>33</v>
      </c>
      <c r="B34" s="409">
        <f t="shared" si="61"/>
        <v>1</v>
      </c>
      <c r="C34" s="386"/>
      <c r="D34" s="411">
        <f t="shared" si="62"/>
        <v>-17</v>
      </c>
      <c r="E34" s="396">
        <f t="shared" si="0"/>
        <v>-17</v>
      </c>
      <c r="F34" s="396">
        <f t="shared" si="1"/>
        <v>-17</v>
      </c>
      <c r="G34" s="396">
        <f t="shared" si="2"/>
        <v>-17</v>
      </c>
      <c r="H34" s="396">
        <f t="shared" si="3"/>
        <v>-17</v>
      </c>
      <c r="I34" s="396">
        <f t="shared" si="4"/>
        <v>-17</v>
      </c>
      <c r="J34" s="396">
        <f t="shared" si="5"/>
        <v>-17</v>
      </c>
      <c r="K34" s="396">
        <f t="shared" si="6"/>
        <v>-17</v>
      </c>
      <c r="L34" s="396">
        <f t="shared" si="7"/>
        <v>-17</v>
      </c>
      <c r="M34" s="396">
        <f t="shared" si="8"/>
        <v>-17</v>
      </c>
      <c r="N34" s="396">
        <f t="shared" si="9"/>
        <v>-17</v>
      </c>
      <c r="O34" s="396">
        <f t="shared" si="10"/>
        <v>-17</v>
      </c>
      <c r="P34" s="396">
        <f t="shared" si="11"/>
        <v>-17</v>
      </c>
      <c r="Q34" s="396">
        <f t="shared" si="12"/>
        <v>-17</v>
      </c>
      <c r="R34" s="396">
        <f t="shared" si="13"/>
        <v>-17</v>
      </c>
      <c r="S34" s="396">
        <f t="shared" si="14"/>
        <v>-17</v>
      </c>
      <c r="T34" s="396">
        <f t="shared" si="15"/>
        <v>-16</v>
      </c>
      <c r="U34" s="396">
        <f t="shared" si="16"/>
        <v>-15</v>
      </c>
      <c r="V34" s="396">
        <f t="shared" si="17"/>
        <v>-14</v>
      </c>
      <c r="W34" s="396">
        <f t="shared" si="18"/>
        <v>-13</v>
      </c>
      <c r="X34" s="396">
        <f t="shared" si="19"/>
        <v>-12</v>
      </c>
      <c r="Y34" s="396">
        <f t="shared" si="20"/>
        <v>-11</v>
      </c>
      <c r="Z34" s="396">
        <f t="shared" si="21"/>
        <v>-10</v>
      </c>
      <c r="AA34" s="396">
        <f t="shared" si="22"/>
        <v>-9</v>
      </c>
      <c r="AB34" s="396">
        <f t="shared" si="23"/>
        <v>-8</v>
      </c>
      <c r="AC34" s="396">
        <f t="shared" si="24"/>
        <v>-7</v>
      </c>
      <c r="AD34" s="396">
        <f t="shared" si="25"/>
        <v>-6</v>
      </c>
      <c r="AE34" s="396">
        <f t="shared" si="26"/>
        <v>-5</v>
      </c>
      <c r="AF34" s="396">
        <f t="shared" si="27"/>
        <v>-4</v>
      </c>
      <c r="AG34" s="396">
        <f t="shared" si="28"/>
        <v>-3</v>
      </c>
      <c r="AH34" s="396">
        <f t="shared" si="29"/>
        <v>-2</v>
      </c>
      <c r="AI34" s="396">
        <f t="shared" si="30"/>
        <v>-1</v>
      </c>
      <c r="AJ34" s="396">
        <f t="shared" si="31"/>
        <v>0</v>
      </c>
      <c r="AK34" s="396">
        <f t="shared" si="32"/>
        <v>1</v>
      </c>
      <c r="AL34" s="396">
        <f t="shared" si="33"/>
        <v>2</v>
      </c>
      <c r="AM34" s="396">
        <f t="shared" si="34"/>
        <v>3</v>
      </c>
      <c r="AN34" s="396">
        <f t="shared" si="35"/>
        <v>4</v>
      </c>
      <c r="AO34" s="396">
        <f t="shared" si="36"/>
        <v>5</v>
      </c>
      <c r="AP34" s="396">
        <f t="shared" si="37"/>
        <v>6</v>
      </c>
      <c r="AQ34" s="396">
        <f t="shared" si="38"/>
        <v>7</v>
      </c>
      <c r="AR34" s="396">
        <f t="shared" si="39"/>
        <v>8</v>
      </c>
      <c r="AS34" s="396">
        <f t="shared" si="40"/>
        <v>9</v>
      </c>
      <c r="AT34" s="396">
        <f t="shared" si="41"/>
        <v>10</v>
      </c>
      <c r="AU34" s="396">
        <f t="shared" si="42"/>
        <v>11</v>
      </c>
      <c r="AV34" s="396">
        <f t="shared" si="43"/>
        <v>12</v>
      </c>
      <c r="AW34" s="396">
        <f t="shared" si="44"/>
        <v>13</v>
      </c>
      <c r="AX34" s="396">
        <f t="shared" si="45"/>
        <v>14</v>
      </c>
      <c r="AY34" s="396">
        <f t="shared" si="46"/>
        <v>15</v>
      </c>
      <c r="AZ34" s="396">
        <f t="shared" si="47"/>
        <v>16</v>
      </c>
      <c r="BA34" s="396">
        <f t="shared" si="48"/>
        <v>17</v>
      </c>
      <c r="BB34" s="396">
        <f t="shared" si="49"/>
        <v>18</v>
      </c>
      <c r="BC34" s="396">
        <f t="shared" si="50"/>
        <v>19</v>
      </c>
      <c r="BD34" s="396">
        <f t="shared" si="51"/>
        <v>20</v>
      </c>
      <c r="BE34" s="396">
        <f t="shared" si="52"/>
        <v>21</v>
      </c>
      <c r="BF34" s="396">
        <f t="shared" si="53"/>
        <v>22</v>
      </c>
      <c r="BG34" s="396">
        <f t="shared" si="54"/>
        <v>23</v>
      </c>
      <c r="BH34" s="396">
        <f t="shared" si="55"/>
        <v>24</v>
      </c>
      <c r="BI34" s="396">
        <f t="shared" si="56"/>
        <v>25</v>
      </c>
      <c r="BJ34" s="396">
        <f t="shared" si="57"/>
        <v>26</v>
      </c>
      <c r="BK34" s="396">
        <f t="shared" si="58"/>
        <v>27</v>
      </c>
      <c r="BL34" s="396">
        <f t="shared" si="59"/>
        <v>28</v>
      </c>
    </row>
    <row r="35" spans="1:64" ht="15">
      <c r="A35" s="375">
        <v>34</v>
      </c>
      <c r="B35" s="409">
        <f t="shared" si="61"/>
        <v>1</v>
      </c>
      <c r="C35" s="386"/>
      <c r="D35" s="411">
        <f t="shared" si="62"/>
        <v>-18</v>
      </c>
      <c r="E35" s="396">
        <f t="shared" si="0"/>
        <v>-18</v>
      </c>
      <c r="F35" s="396">
        <f t="shared" si="1"/>
        <v>-18</v>
      </c>
      <c r="G35" s="396">
        <f t="shared" si="2"/>
        <v>-18</v>
      </c>
      <c r="H35" s="396">
        <f t="shared" si="3"/>
        <v>-18</v>
      </c>
      <c r="I35" s="396">
        <f t="shared" si="4"/>
        <v>-18</v>
      </c>
      <c r="J35" s="396">
        <f t="shared" si="5"/>
        <v>-18</v>
      </c>
      <c r="K35" s="396">
        <f t="shared" si="6"/>
        <v>-18</v>
      </c>
      <c r="L35" s="396">
        <f t="shared" si="7"/>
        <v>-18</v>
      </c>
      <c r="M35" s="396">
        <f t="shared" si="8"/>
        <v>-18</v>
      </c>
      <c r="N35" s="396">
        <f t="shared" si="9"/>
        <v>-18</v>
      </c>
      <c r="O35" s="396">
        <f t="shared" si="10"/>
        <v>-18</v>
      </c>
      <c r="P35" s="396">
        <f t="shared" si="11"/>
        <v>-18</v>
      </c>
      <c r="Q35" s="396">
        <f t="shared" si="12"/>
        <v>-18</v>
      </c>
      <c r="R35" s="396">
        <f t="shared" si="13"/>
        <v>-18</v>
      </c>
      <c r="S35" s="396">
        <f t="shared" si="14"/>
        <v>-18</v>
      </c>
      <c r="T35" s="396">
        <f t="shared" si="15"/>
        <v>-17</v>
      </c>
      <c r="U35" s="396">
        <f t="shared" si="16"/>
        <v>-16</v>
      </c>
      <c r="V35" s="396">
        <f t="shared" si="17"/>
        <v>-15</v>
      </c>
      <c r="W35" s="396">
        <f t="shared" si="18"/>
        <v>-14</v>
      </c>
      <c r="X35" s="396">
        <f t="shared" si="19"/>
        <v>-13</v>
      </c>
      <c r="Y35" s="396">
        <f t="shared" si="20"/>
        <v>-12</v>
      </c>
      <c r="Z35" s="396">
        <f t="shared" si="21"/>
        <v>-11</v>
      </c>
      <c r="AA35" s="396">
        <f t="shared" si="22"/>
        <v>-10</v>
      </c>
      <c r="AB35" s="396">
        <f t="shared" si="23"/>
        <v>-9</v>
      </c>
      <c r="AC35" s="396">
        <f t="shared" si="24"/>
        <v>-8</v>
      </c>
      <c r="AD35" s="396">
        <f t="shared" si="25"/>
        <v>-7</v>
      </c>
      <c r="AE35" s="396">
        <f t="shared" si="26"/>
        <v>-6</v>
      </c>
      <c r="AF35" s="396">
        <f t="shared" si="27"/>
        <v>-5</v>
      </c>
      <c r="AG35" s="396">
        <f t="shared" si="28"/>
        <v>-4</v>
      </c>
      <c r="AH35" s="396">
        <f t="shared" si="29"/>
        <v>-3</v>
      </c>
      <c r="AI35" s="396">
        <f t="shared" si="30"/>
        <v>-2</v>
      </c>
      <c r="AJ35" s="396">
        <f t="shared" si="31"/>
        <v>-1</v>
      </c>
      <c r="AK35" s="396">
        <f t="shared" si="32"/>
        <v>0</v>
      </c>
      <c r="AL35" s="396">
        <f t="shared" si="33"/>
        <v>1</v>
      </c>
      <c r="AM35" s="396">
        <f t="shared" si="34"/>
        <v>2</v>
      </c>
      <c r="AN35" s="396">
        <f t="shared" si="35"/>
        <v>3</v>
      </c>
      <c r="AO35" s="396">
        <f t="shared" si="36"/>
        <v>4</v>
      </c>
      <c r="AP35" s="396">
        <f t="shared" si="37"/>
        <v>5</v>
      </c>
      <c r="AQ35" s="396">
        <f t="shared" si="38"/>
        <v>6</v>
      </c>
      <c r="AR35" s="396">
        <f t="shared" si="39"/>
        <v>7</v>
      </c>
      <c r="AS35" s="396">
        <f t="shared" si="40"/>
        <v>8</v>
      </c>
      <c r="AT35" s="396">
        <f t="shared" si="41"/>
        <v>9</v>
      </c>
      <c r="AU35" s="396">
        <f t="shared" si="42"/>
        <v>10</v>
      </c>
      <c r="AV35" s="396">
        <f t="shared" si="43"/>
        <v>11</v>
      </c>
      <c r="AW35" s="396">
        <f t="shared" si="44"/>
        <v>12</v>
      </c>
      <c r="AX35" s="396">
        <f t="shared" si="45"/>
        <v>13</v>
      </c>
      <c r="AY35" s="396">
        <f t="shared" si="46"/>
        <v>14</v>
      </c>
      <c r="AZ35" s="396">
        <f t="shared" si="47"/>
        <v>15</v>
      </c>
      <c r="BA35" s="396">
        <f t="shared" si="48"/>
        <v>16</v>
      </c>
      <c r="BB35" s="396">
        <f t="shared" si="49"/>
        <v>17</v>
      </c>
      <c r="BC35" s="396">
        <f t="shared" si="50"/>
        <v>18</v>
      </c>
      <c r="BD35" s="396">
        <f t="shared" si="51"/>
        <v>19</v>
      </c>
      <c r="BE35" s="396">
        <f t="shared" si="52"/>
        <v>20</v>
      </c>
      <c r="BF35" s="396">
        <f t="shared" si="53"/>
        <v>21</v>
      </c>
      <c r="BG35" s="396">
        <f t="shared" si="54"/>
        <v>22</v>
      </c>
      <c r="BH35" s="396">
        <f t="shared" si="55"/>
        <v>23</v>
      </c>
      <c r="BI35" s="396">
        <f t="shared" si="56"/>
        <v>24</v>
      </c>
      <c r="BJ35" s="396">
        <f t="shared" si="57"/>
        <v>25</v>
      </c>
      <c r="BK35" s="396">
        <f t="shared" si="58"/>
        <v>26</v>
      </c>
      <c r="BL35" s="396">
        <f t="shared" si="59"/>
        <v>27</v>
      </c>
    </row>
    <row r="36" spans="1:64" ht="15">
      <c r="A36" s="375">
        <v>35</v>
      </c>
      <c r="B36" s="409">
        <f t="shared" si="61"/>
        <v>1</v>
      </c>
      <c r="C36" s="386"/>
      <c r="D36" s="411">
        <f t="shared" si="62"/>
        <v>-19</v>
      </c>
      <c r="E36" s="396">
        <f t="shared" si="0"/>
        <v>-19</v>
      </c>
      <c r="F36" s="396">
        <f t="shared" si="1"/>
        <v>-19</v>
      </c>
      <c r="G36" s="396">
        <f t="shared" si="2"/>
        <v>-19</v>
      </c>
      <c r="H36" s="396">
        <f t="shared" si="3"/>
        <v>-19</v>
      </c>
      <c r="I36" s="396">
        <f t="shared" si="4"/>
        <v>-19</v>
      </c>
      <c r="J36" s="396">
        <f t="shared" si="5"/>
        <v>-19</v>
      </c>
      <c r="K36" s="396">
        <f t="shared" si="6"/>
        <v>-19</v>
      </c>
      <c r="L36" s="396">
        <f t="shared" si="7"/>
        <v>-19</v>
      </c>
      <c r="M36" s="396">
        <f t="shared" si="8"/>
        <v>-19</v>
      </c>
      <c r="N36" s="396">
        <f t="shared" si="9"/>
        <v>-19</v>
      </c>
      <c r="O36" s="396">
        <f t="shared" si="10"/>
        <v>-19</v>
      </c>
      <c r="P36" s="396">
        <f t="shared" si="11"/>
        <v>-19</v>
      </c>
      <c r="Q36" s="396">
        <f t="shared" si="12"/>
        <v>-19</v>
      </c>
      <c r="R36" s="396">
        <f t="shared" si="13"/>
        <v>-19</v>
      </c>
      <c r="S36" s="396">
        <f t="shared" si="14"/>
        <v>-19</v>
      </c>
      <c r="T36" s="396">
        <f t="shared" si="15"/>
        <v>-18</v>
      </c>
      <c r="U36" s="396">
        <f t="shared" si="16"/>
        <v>-17</v>
      </c>
      <c r="V36" s="396">
        <f t="shared" si="17"/>
        <v>-16</v>
      </c>
      <c r="W36" s="396">
        <f t="shared" si="18"/>
        <v>-15</v>
      </c>
      <c r="X36" s="396">
        <f t="shared" si="19"/>
        <v>-14</v>
      </c>
      <c r="Y36" s="396">
        <f t="shared" si="20"/>
        <v>-13</v>
      </c>
      <c r="Z36" s="396">
        <f t="shared" si="21"/>
        <v>-12</v>
      </c>
      <c r="AA36" s="396">
        <f t="shared" si="22"/>
        <v>-11</v>
      </c>
      <c r="AB36" s="396">
        <f t="shared" si="23"/>
        <v>-10</v>
      </c>
      <c r="AC36" s="396">
        <f t="shared" si="24"/>
        <v>-9</v>
      </c>
      <c r="AD36" s="396">
        <f t="shared" si="25"/>
        <v>-8</v>
      </c>
      <c r="AE36" s="396">
        <f t="shared" si="26"/>
        <v>-7</v>
      </c>
      <c r="AF36" s="396">
        <f t="shared" si="27"/>
        <v>-6</v>
      </c>
      <c r="AG36" s="396">
        <f t="shared" si="28"/>
        <v>-5</v>
      </c>
      <c r="AH36" s="396">
        <f t="shared" si="29"/>
        <v>-4</v>
      </c>
      <c r="AI36" s="396">
        <f t="shared" si="30"/>
        <v>-3</v>
      </c>
      <c r="AJ36" s="396">
        <f t="shared" si="31"/>
        <v>-2</v>
      </c>
      <c r="AK36" s="396">
        <f t="shared" si="32"/>
        <v>-1</v>
      </c>
      <c r="AL36" s="396">
        <f t="shared" si="33"/>
        <v>0</v>
      </c>
      <c r="AM36" s="396">
        <f t="shared" si="34"/>
        <v>1</v>
      </c>
      <c r="AN36" s="396">
        <f t="shared" si="35"/>
        <v>2</v>
      </c>
      <c r="AO36" s="396">
        <f t="shared" si="36"/>
        <v>3</v>
      </c>
      <c r="AP36" s="396">
        <f t="shared" si="37"/>
        <v>4</v>
      </c>
      <c r="AQ36" s="396">
        <f t="shared" si="38"/>
        <v>5</v>
      </c>
      <c r="AR36" s="396">
        <f t="shared" si="39"/>
        <v>6</v>
      </c>
      <c r="AS36" s="396">
        <f t="shared" si="40"/>
        <v>7</v>
      </c>
      <c r="AT36" s="396">
        <f t="shared" si="41"/>
        <v>8</v>
      </c>
      <c r="AU36" s="396">
        <f t="shared" si="42"/>
        <v>9</v>
      </c>
      <c r="AV36" s="396">
        <f t="shared" si="43"/>
        <v>10</v>
      </c>
      <c r="AW36" s="396">
        <f t="shared" si="44"/>
        <v>11</v>
      </c>
      <c r="AX36" s="396">
        <f t="shared" si="45"/>
        <v>12</v>
      </c>
      <c r="AY36" s="396">
        <f t="shared" si="46"/>
        <v>13</v>
      </c>
      <c r="AZ36" s="396">
        <f t="shared" si="47"/>
        <v>14</v>
      </c>
      <c r="BA36" s="396">
        <f t="shared" si="48"/>
        <v>15</v>
      </c>
      <c r="BB36" s="396">
        <f t="shared" si="49"/>
        <v>16</v>
      </c>
      <c r="BC36" s="396">
        <f t="shared" si="50"/>
        <v>17</v>
      </c>
      <c r="BD36" s="396">
        <f t="shared" si="51"/>
        <v>18</v>
      </c>
      <c r="BE36" s="396">
        <f t="shared" si="52"/>
        <v>19</v>
      </c>
      <c r="BF36" s="396">
        <f t="shared" si="53"/>
        <v>20</v>
      </c>
      <c r="BG36" s="396">
        <f t="shared" si="54"/>
        <v>21</v>
      </c>
      <c r="BH36" s="396">
        <f t="shared" si="55"/>
        <v>22</v>
      </c>
      <c r="BI36" s="396">
        <f t="shared" si="56"/>
        <v>23</v>
      </c>
      <c r="BJ36" s="396">
        <f t="shared" si="57"/>
        <v>24</v>
      </c>
      <c r="BK36" s="396">
        <f t="shared" si="58"/>
        <v>25</v>
      </c>
      <c r="BL36" s="396">
        <f t="shared" si="59"/>
        <v>26</v>
      </c>
    </row>
    <row r="37" spans="1:64" ht="15">
      <c r="A37" s="375">
        <v>36</v>
      </c>
      <c r="B37" s="409">
        <f t="shared" si="61"/>
        <v>1</v>
      </c>
      <c r="C37" s="386"/>
      <c r="D37" s="411">
        <f t="shared" si="62"/>
        <v>-20</v>
      </c>
      <c r="E37" s="396">
        <f t="shared" si="0"/>
        <v>-20</v>
      </c>
      <c r="F37" s="396">
        <f t="shared" si="1"/>
        <v>-20</v>
      </c>
      <c r="G37" s="396">
        <f t="shared" si="2"/>
        <v>-20</v>
      </c>
      <c r="H37" s="396">
        <f t="shared" si="3"/>
        <v>-20</v>
      </c>
      <c r="I37" s="396">
        <f t="shared" si="4"/>
        <v>-20</v>
      </c>
      <c r="J37" s="396">
        <f t="shared" si="5"/>
        <v>-20</v>
      </c>
      <c r="K37" s="396">
        <f t="shared" si="6"/>
        <v>-20</v>
      </c>
      <c r="L37" s="396">
        <f t="shared" si="7"/>
        <v>-20</v>
      </c>
      <c r="M37" s="396">
        <f t="shared" si="8"/>
        <v>-20</v>
      </c>
      <c r="N37" s="396">
        <f t="shared" si="9"/>
        <v>-20</v>
      </c>
      <c r="O37" s="396">
        <f t="shared" si="10"/>
        <v>-20</v>
      </c>
      <c r="P37" s="396">
        <f t="shared" si="11"/>
        <v>-20</v>
      </c>
      <c r="Q37" s="396">
        <f t="shared" si="12"/>
        <v>-20</v>
      </c>
      <c r="R37" s="396">
        <f t="shared" si="13"/>
        <v>-20</v>
      </c>
      <c r="S37" s="396">
        <f t="shared" si="14"/>
        <v>-20</v>
      </c>
      <c r="T37" s="396">
        <f t="shared" si="15"/>
        <v>-19</v>
      </c>
      <c r="U37" s="396">
        <f t="shared" si="16"/>
        <v>-18</v>
      </c>
      <c r="V37" s="396">
        <f t="shared" si="17"/>
        <v>-17</v>
      </c>
      <c r="W37" s="396">
        <f t="shared" si="18"/>
        <v>-16</v>
      </c>
      <c r="X37" s="396">
        <f t="shared" si="19"/>
        <v>-15</v>
      </c>
      <c r="Y37" s="396">
        <f t="shared" si="20"/>
        <v>-14</v>
      </c>
      <c r="Z37" s="396">
        <f t="shared" si="21"/>
        <v>-13</v>
      </c>
      <c r="AA37" s="396">
        <f t="shared" si="22"/>
        <v>-12</v>
      </c>
      <c r="AB37" s="396">
        <f t="shared" si="23"/>
        <v>-11</v>
      </c>
      <c r="AC37" s="396">
        <f t="shared" si="24"/>
        <v>-10</v>
      </c>
      <c r="AD37" s="396">
        <f t="shared" si="25"/>
        <v>-9</v>
      </c>
      <c r="AE37" s="396">
        <f t="shared" si="26"/>
        <v>-8</v>
      </c>
      <c r="AF37" s="396">
        <f t="shared" si="27"/>
        <v>-7</v>
      </c>
      <c r="AG37" s="396">
        <f t="shared" si="28"/>
        <v>-6</v>
      </c>
      <c r="AH37" s="396">
        <f t="shared" si="29"/>
        <v>-5</v>
      </c>
      <c r="AI37" s="396">
        <f t="shared" si="30"/>
        <v>-4</v>
      </c>
      <c r="AJ37" s="396">
        <f t="shared" si="31"/>
        <v>-3</v>
      </c>
      <c r="AK37" s="396">
        <f t="shared" si="32"/>
        <v>-2</v>
      </c>
      <c r="AL37" s="396">
        <f t="shared" si="33"/>
        <v>-1</v>
      </c>
      <c r="AM37" s="396">
        <f t="shared" si="34"/>
        <v>0</v>
      </c>
      <c r="AN37" s="396">
        <f t="shared" si="35"/>
        <v>1</v>
      </c>
      <c r="AO37" s="396">
        <f t="shared" si="36"/>
        <v>2</v>
      </c>
      <c r="AP37" s="396">
        <f t="shared" si="37"/>
        <v>3</v>
      </c>
      <c r="AQ37" s="396">
        <f t="shared" si="38"/>
        <v>4</v>
      </c>
      <c r="AR37" s="396">
        <f t="shared" si="39"/>
        <v>5</v>
      </c>
      <c r="AS37" s="396">
        <f t="shared" si="40"/>
        <v>6</v>
      </c>
      <c r="AT37" s="396">
        <f t="shared" si="41"/>
        <v>7</v>
      </c>
      <c r="AU37" s="396">
        <f t="shared" si="42"/>
        <v>8</v>
      </c>
      <c r="AV37" s="396">
        <f t="shared" si="43"/>
        <v>9</v>
      </c>
      <c r="AW37" s="396">
        <f t="shared" si="44"/>
        <v>10</v>
      </c>
      <c r="AX37" s="396">
        <f t="shared" si="45"/>
        <v>11</v>
      </c>
      <c r="AY37" s="396">
        <f t="shared" si="46"/>
        <v>12</v>
      </c>
      <c r="AZ37" s="396">
        <f t="shared" si="47"/>
        <v>13</v>
      </c>
      <c r="BA37" s="396">
        <f t="shared" si="48"/>
        <v>14</v>
      </c>
      <c r="BB37" s="396">
        <f t="shared" si="49"/>
        <v>15</v>
      </c>
      <c r="BC37" s="396">
        <f t="shared" si="50"/>
        <v>16</v>
      </c>
      <c r="BD37" s="396">
        <f t="shared" si="51"/>
        <v>17</v>
      </c>
      <c r="BE37" s="396">
        <f t="shared" si="52"/>
        <v>18</v>
      </c>
      <c r="BF37" s="396">
        <f t="shared" si="53"/>
        <v>19</v>
      </c>
      <c r="BG37" s="396">
        <f t="shared" si="54"/>
        <v>20</v>
      </c>
      <c r="BH37" s="396">
        <f t="shared" si="55"/>
        <v>21</v>
      </c>
      <c r="BI37" s="396">
        <f t="shared" si="56"/>
        <v>22</v>
      </c>
      <c r="BJ37" s="396">
        <f t="shared" si="57"/>
        <v>23</v>
      </c>
      <c r="BK37" s="396">
        <f t="shared" si="58"/>
        <v>24</v>
      </c>
      <c r="BL37" s="396">
        <f t="shared" si="59"/>
        <v>25</v>
      </c>
    </row>
    <row r="38" spans="1:64" ht="15">
      <c r="A38" s="375">
        <v>37</v>
      </c>
      <c r="B38" s="409">
        <f t="shared" si="61"/>
        <v>1</v>
      </c>
      <c r="C38" s="386"/>
      <c r="D38" s="411">
        <f t="shared" si="62"/>
        <v>-21</v>
      </c>
      <c r="E38" s="396">
        <f t="shared" si="0"/>
        <v>-21</v>
      </c>
      <c r="F38" s="396">
        <f t="shared" si="1"/>
        <v>-21</v>
      </c>
      <c r="G38" s="396">
        <f t="shared" si="2"/>
        <v>-21</v>
      </c>
      <c r="H38" s="396">
        <f t="shared" si="3"/>
        <v>-21</v>
      </c>
      <c r="I38" s="396">
        <f t="shared" si="4"/>
        <v>-21</v>
      </c>
      <c r="J38" s="396">
        <f t="shared" si="5"/>
        <v>-21</v>
      </c>
      <c r="K38" s="396">
        <f t="shared" si="6"/>
        <v>-21</v>
      </c>
      <c r="L38" s="396">
        <f t="shared" si="7"/>
        <v>-21</v>
      </c>
      <c r="M38" s="396">
        <f t="shared" si="8"/>
        <v>-21</v>
      </c>
      <c r="N38" s="396">
        <f t="shared" si="9"/>
        <v>-21</v>
      </c>
      <c r="O38" s="396">
        <f t="shared" si="10"/>
        <v>-21</v>
      </c>
      <c r="P38" s="396">
        <f t="shared" si="11"/>
        <v>-21</v>
      </c>
      <c r="Q38" s="396">
        <f t="shared" si="12"/>
        <v>-21</v>
      </c>
      <c r="R38" s="396">
        <f t="shared" si="13"/>
        <v>-21</v>
      </c>
      <c r="S38" s="396">
        <f t="shared" si="14"/>
        <v>-21</v>
      </c>
      <c r="T38" s="396">
        <f t="shared" si="15"/>
        <v>-20</v>
      </c>
      <c r="U38" s="396">
        <f t="shared" si="16"/>
        <v>-19</v>
      </c>
      <c r="V38" s="396">
        <f t="shared" si="17"/>
        <v>-18</v>
      </c>
      <c r="W38" s="396">
        <f t="shared" si="18"/>
        <v>-17</v>
      </c>
      <c r="X38" s="396">
        <f t="shared" si="19"/>
        <v>-16</v>
      </c>
      <c r="Y38" s="396">
        <f t="shared" si="20"/>
        <v>-15</v>
      </c>
      <c r="Z38" s="396">
        <f t="shared" si="21"/>
        <v>-14</v>
      </c>
      <c r="AA38" s="396">
        <f t="shared" si="22"/>
        <v>-13</v>
      </c>
      <c r="AB38" s="396">
        <f t="shared" si="23"/>
        <v>-12</v>
      </c>
      <c r="AC38" s="396">
        <f t="shared" si="24"/>
        <v>-11</v>
      </c>
      <c r="AD38" s="396">
        <f t="shared" si="25"/>
        <v>-10</v>
      </c>
      <c r="AE38" s="396">
        <f t="shared" si="26"/>
        <v>-9</v>
      </c>
      <c r="AF38" s="396">
        <f t="shared" si="27"/>
        <v>-8</v>
      </c>
      <c r="AG38" s="396">
        <f t="shared" si="28"/>
        <v>-7</v>
      </c>
      <c r="AH38" s="396">
        <f t="shared" si="29"/>
        <v>-6</v>
      </c>
      <c r="AI38" s="396">
        <f t="shared" si="30"/>
        <v>-5</v>
      </c>
      <c r="AJ38" s="396">
        <f t="shared" si="31"/>
        <v>-4</v>
      </c>
      <c r="AK38" s="396">
        <f t="shared" si="32"/>
        <v>-3</v>
      </c>
      <c r="AL38" s="396">
        <f t="shared" si="33"/>
        <v>-2</v>
      </c>
      <c r="AM38" s="396">
        <f t="shared" si="34"/>
        <v>-1</v>
      </c>
      <c r="AN38" s="396">
        <f t="shared" si="35"/>
        <v>0</v>
      </c>
      <c r="AO38" s="396">
        <f t="shared" si="36"/>
        <v>1</v>
      </c>
      <c r="AP38" s="396">
        <f t="shared" si="37"/>
        <v>2</v>
      </c>
      <c r="AQ38" s="396">
        <f t="shared" si="38"/>
        <v>3</v>
      </c>
      <c r="AR38" s="396">
        <f t="shared" si="39"/>
        <v>4</v>
      </c>
      <c r="AS38" s="396">
        <f t="shared" si="40"/>
        <v>5</v>
      </c>
      <c r="AT38" s="396">
        <f t="shared" si="41"/>
        <v>6</v>
      </c>
      <c r="AU38" s="396">
        <f t="shared" si="42"/>
        <v>7</v>
      </c>
      <c r="AV38" s="396">
        <f t="shared" si="43"/>
        <v>8</v>
      </c>
      <c r="AW38" s="396">
        <f t="shared" si="44"/>
        <v>9</v>
      </c>
      <c r="AX38" s="396">
        <f t="shared" si="45"/>
        <v>10</v>
      </c>
      <c r="AY38" s="396">
        <f t="shared" si="46"/>
        <v>11</v>
      </c>
      <c r="AZ38" s="396">
        <f t="shared" si="47"/>
        <v>12</v>
      </c>
      <c r="BA38" s="396">
        <f t="shared" si="48"/>
        <v>13</v>
      </c>
      <c r="BB38" s="396">
        <f t="shared" si="49"/>
        <v>14</v>
      </c>
      <c r="BC38" s="396">
        <f t="shared" si="50"/>
        <v>15</v>
      </c>
      <c r="BD38" s="396">
        <f t="shared" si="51"/>
        <v>16</v>
      </c>
      <c r="BE38" s="396">
        <f t="shared" si="52"/>
        <v>17</v>
      </c>
      <c r="BF38" s="396">
        <f t="shared" si="53"/>
        <v>18</v>
      </c>
      <c r="BG38" s="396">
        <f t="shared" si="54"/>
        <v>19</v>
      </c>
      <c r="BH38" s="396">
        <f t="shared" si="55"/>
        <v>20</v>
      </c>
      <c r="BI38" s="396">
        <f t="shared" si="56"/>
        <v>21</v>
      </c>
      <c r="BJ38" s="396">
        <f t="shared" si="57"/>
        <v>22</v>
      </c>
      <c r="BK38" s="396">
        <f t="shared" si="58"/>
        <v>23</v>
      </c>
      <c r="BL38" s="396">
        <f t="shared" si="59"/>
        <v>24</v>
      </c>
    </row>
    <row r="39" spans="1:64" ht="15">
      <c r="A39" s="375">
        <v>38</v>
      </c>
      <c r="B39" s="409">
        <f t="shared" si="61"/>
        <v>1</v>
      </c>
      <c r="C39" s="386"/>
      <c r="D39" s="411">
        <f t="shared" si="62"/>
        <v>-22</v>
      </c>
      <c r="E39" s="396">
        <f t="shared" si="0"/>
        <v>-22</v>
      </c>
      <c r="F39" s="396">
        <f t="shared" si="1"/>
        <v>-22</v>
      </c>
      <c r="G39" s="396">
        <f t="shared" si="2"/>
        <v>-22</v>
      </c>
      <c r="H39" s="396">
        <f t="shared" si="3"/>
        <v>-22</v>
      </c>
      <c r="I39" s="396">
        <f t="shared" si="4"/>
        <v>-22</v>
      </c>
      <c r="J39" s="396">
        <f t="shared" si="5"/>
        <v>-22</v>
      </c>
      <c r="K39" s="396">
        <f t="shared" si="6"/>
        <v>-22</v>
      </c>
      <c r="L39" s="396">
        <f t="shared" si="7"/>
        <v>-22</v>
      </c>
      <c r="M39" s="396">
        <f t="shared" si="8"/>
        <v>-22</v>
      </c>
      <c r="N39" s="396">
        <f t="shared" si="9"/>
        <v>-22</v>
      </c>
      <c r="O39" s="396">
        <f t="shared" si="10"/>
        <v>-22</v>
      </c>
      <c r="P39" s="396">
        <f t="shared" si="11"/>
        <v>-22</v>
      </c>
      <c r="Q39" s="396">
        <f t="shared" si="12"/>
        <v>-22</v>
      </c>
      <c r="R39" s="396">
        <f t="shared" si="13"/>
        <v>-22</v>
      </c>
      <c r="S39" s="396">
        <f t="shared" si="14"/>
        <v>-22</v>
      </c>
      <c r="T39" s="396">
        <f t="shared" si="15"/>
        <v>-21</v>
      </c>
      <c r="U39" s="396">
        <f t="shared" si="16"/>
        <v>-20</v>
      </c>
      <c r="V39" s="396">
        <f t="shared" si="17"/>
        <v>-19</v>
      </c>
      <c r="W39" s="396">
        <f t="shared" si="18"/>
        <v>-18</v>
      </c>
      <c r="X39" s="396">
        <f t="shared" si="19"/>
        <v>-17</v>
      </c>
      <c r="Y39" s="396">
        <f t="shared" si="20"/>
        <v>-16</v>
      </c>
      <c r="Z39" s="396">
        <f t="shared" si="21"/>
        <v>-15</v>
      </c>
      <c r="AA39" s="396">
        <f t="shared" si="22"/>
        <v>-14</v>
      </c>
      <c r="AB39" s="396">
        <f t="shared" si="23"/>
        <v>-13</v>
      </c>
      <c r="AC39" s="396">
        <f t="shared" si="24"/>
        <v>-12</v>
      </c>
      <c r="AD39" s="396">
        <f t="shared" si="25"/>
        <v>-11</v>
      </c>
      <c r="AE39" s="396">
        <f t="shared" si="26"/>
        <v>-10</v>
      </c>
      <c r="AF39" s="396">
        <f t="shared" si="27"/>
        <v>-9</v>
      </c>
      <c r="AG39" s="396">
        <f t="shared" si="28"/>
        <v>-8</v>
      </c>
      <c r="AH39" s="396">
        <f t="shared" si="29"/>
        <v>-7</v>
      </c>
      <c r="AI39" s="396">
        <f t="shared" si="30"/>
        <v>-6</v>
      </c>
      <c r="AJ39" s="396">
        <f t="shared" si="31"/>
        <v>-5</v>
      </c>
      <c r="AK39" s="396">
        <f t="shared" si="32"/>
        <v>-4</v>
      </c>
      <c r="AL39" s="396">
        <f t="shared" si="33"/>
        <v>-3</v>
      </c>
      <c r="AM39" s="396">
        <f t="shared" si="34"/>
        <v>-2</v>
      </c>
      <c r="AN39" s="396">
        <f t="shared" si="35"/>
        <v>-1</v>
      </c>
      <c r="AO39" s="396">
        <f t="shared" si="36"/>
        <v>0</v>
      </c>
      <c r="AP39" s="396">
        <f t="shared" si="37"/>
        <v>1</v>
      </c>
      <c r="AQ39" s="396">
        <f t="shared" si="38"/>
        <v>2</v>
      </c>
      <c r="AR39" s="396">
        <f t="shared" si="39"/>
        <v>3</v>
      </c>
      <c r="AS39" s="396">
        <f t="shared" si="40"/>
        <v>4</v>
      </c>
      <c r="AT39" s="396">
        <f t="shared" si="41"/>
        <v>5</v>
      </c>
      <c r="AU39" s="396">
        <f t="shared" si="42"/>
        <v>6</v>
      </c>
      <c r="AV39" s="396">
        <f t="shared" si="43"/>
        <v>7</v>
      </c>
      <c r="AW39" s="396">
        <f t="shared" si="44"/>
        <v>8</v>
      </c>
      <c r="AX39" s="396">
        <f t="shared" si="45"/>
        <v>9</v>
      </c>
      <c r="AY39" s="396">
        <f t="shared" si="46"/>
        <v>10</v>
      </c>
      <c r="AZ39" s="396">
        <f t="shared" si="47"/>
        <v>11</v>
      </c>
      <c r="BA39" s="396">
        <f t="shared" si="48"/>
        <v>12</v>
      </c>
      <c r="BB39" s="396">
        <f t="shared" si="49"/>
        <v>13</v>
      </c>
      <c r="BC39" s="396">
        <f t="shared" si="50"/>
        <v>14</v>
      </c>
      <c r="BD39" s="396">
        <f t="shared" si="51"/>
        <v>15</v>
      </c>
      <c r="BE39" s="396">
        <f t="shared" si="52"/>
        <v>16</v>
      </c>
      <c r="BF39" s="396">
        <f t="shared" si="53"/>
        <v>17</v>
      </c>
      <c r="BG39" s="396">
        <f t="shared" si="54"/>
        <v>18</v>
      </c>
      <c r="BH39" s="396">
        <f t="shared" si="55"/>
        <v>19</v>
      </c>
      <c r="BI39" s="396">
        <f t="shared" si="56"/>
        <v>20</v>
      </c>
      <c r="BJ39" s="396">
        <f t="shared" si="57"/>
        <v>21</v>
      </c>
      <c r="BK39" s="396">
        <f t="shared" si="58"/>
        <v>22</v>
      </c>
      <c r="BL39" s="396">
        <f t="shared" si="59"/>
        <v>23</v>
      </c>
    </row>
    <row r="40" spans="1:64" ht="15">
      <c r="A40" s="375">
        <v>39</v>
      </c>
      <c r="B40" s="409">
        <f t="shared" si="61"/>
        <v>1</v>
      </c>
      <c r="C40" s="386"/>
      <c r="D40" s="411">
        <f t="shared" si="62"/>
        <v>-23</v>
      </c>
      <c r="E40" s="396">
        <f t="shared" si="0"/>
        <v>-23</v>
      </c>
      <c r="F40" s="396">
        <f t="shared" si="1"/>
        <v>-23</v>
      </c>
      <c r="G40" s="396">
        <f t="shared" si="2"/>
        <v>-23</v>
      </c>
      <c r="H40" s="396">
        <f t="shared" si="3"/>
        <v>-23</v>
      </c>
      <c r="I40" s="396">
        <f t="shared" si="4"/>
        <v>-23</v>
      </c>
      <c r="J40" s="396">
        <f t="shared" si="5"/>
        <v>-23</v>
      </c>
      <c r="K40" s="396">
        <f t="shared" si="6"/>
        <v>-23</v>
      </c>
      <c r="L40" s="396">
        <f t="shared" si="7"/>
        <v>-23</v>
      </c>
      <c r="M40" s="396">
        <f t="shared" si="8"/>
        <v>-23</v>
      </c>
      <c r="N40" s="396">
        <f t="shared" si="9"/>
        <v>-23</v>
      </c>
      <c r="O40" s="396">
        <f t="shared" si="10"/>
        <v>-23</v>
      </c>
      <c r="P40" s="396">
        <f t="shared" si="11"/>
        <v>-23</v>
      </c>
      <c r="Q40" s="396">
        <f t="shared" si="12"/>
        <v>-23</v>
      </c>
      <c r="R40" s="396">
        <f t="shared" si="13"/>
        <v>-23</v>
      </c>
      <c r="S40" s="396">
        <f t="shared" si="14"/>
        <v>-23</v>
      </c>
      <c r="T40" s="396">
        <f t="shared" si="15"/>
        <v>-22</v>
      </c>
      <c r="U40" s="396">
        <f t="shared" si="16"/>
        <v>-21</v>
      </c>
      <c r="V40" s="396">
        <f t="shared" si="17"/>
        <v>-20</v>
      </c>
      <c r="W40" s="396">
        <f t="shared" si="18"/>
        <v>-19</v>
      </c>
      <c r="X40" s="396">
        <f t="shared" si="19"/>
        <v>-18</v>
      </c>
      <c r="Y40" s="396">
        <f t="shared" si="20"/>
        <v>-17</v>
      </c>
      <c r="Z40" s="396">
        <f t="shared" si="21"/>
        <v>-16</v>
      </c>
      <c r="AA40" s="396">
        <f t="shared" si="22"/>
        <v>-15</v>
      </c>
      <c r="AB40" s="396">
        <f t="shared" si="23"/>
        <v>-14</v>
      </c>
      <c r="AC40" s="396">
        <f t="shared" si="24"/>
        <v>-13</v>
      </c>
      <c r="AD40" s="396">
        <f t="shared" si="25"/>
        <v>-12</v>
      </c>
      <c r="AE40" s="396">
        <f t="shared" si="26"/>
        <v>-11</v>
      </c>
      <c r="AF40" s="396">
        <f t="shared" si="27"/>
        <v>-10</v>
      </c>
      <c r="AG40" s="396">
        <f t="shared" si="28"/>
        <v>-9</v>
      </c>
      <c r="AH40" s="396">
        <f t="shared" si="29"/>
        <v>-8</v>
      </c>
      <c r="AI40" s="396">
        <f t="shared" si="30"/>
        <v>-7</v>
      </c>
      <c r="AJ40" s="396">
        <f t="shared" si="31"/>
        <v>-6</v>
      </c>
      <c r="AK40" s="396">
        <f t="shared" si="32"/>
        <v>-5</v>
      </c>
      <c r="AL40" s="396">
        <f t="shared" si="33"/>
        <v>-4</v>
      </c>
      <c r="AM40" s="396">
        <f t="shared" si="34"/>
        <v>-3</v>
      </c>
      <c r="AN40" s="396">
        <f t="shared" si="35"/>
        <v>-2</v>
      </c>
      <c r="AO40" s="396">
        <f t="shared" si="36"/>
        <v>-1</v>
      </c>
      <c r="AP40" s="396">
        <f t="shared" si="37"/>
        <v>0</v>
      </c>
      <c r="AQ40" s="396">
        <f t="shared" si="38"/>
        <v>1</v>
      </c>
      <c r="AR40" s="396">
        <f t="shared" si="39"/>
        <v>2</v>
      </c>
      <c r="AS40" s="396">
        <f t="shared" si="40"/>
        <v>3</v>
      </c>
      <c r="AT40" s="396">
        <f t="shared" si="41"/>
        <v>4</v>
      </c>
      <c r="AU40" s="396">
        <f t="shared" si="42"/>
        <v>5</v>
      </c>
      <c r="AV40" s="396">
        <f t="shared" si="43"/>
        <v>6</v>
      </c>
      <c r="AW40" s="396">
        <f t="shared" si="44"/>
        <v>7</v>
      </c>
      <c r="AX40" s="396">
        <f t="shared" si="45"/>
        <v>8</v>
      </c>
      <c r="AY40" s="396">
        <f t="shared" si="46"/>
        <v>9</v>
      </c>
      <c r="AZ40" s="396">
        <f t="shared" si="47"/>
        <v>10</v>
      </c>
      <c r="BA40" s="396">
        <f t="shared" si="48"/>
        <v>11</v>
      </c>
      <c r="BB40" s="396">
        <f t="shared" si="49"/>
        <v>12</v>
      </c>
      <c r="BC40" s="396">
        <f t="shared" si="50"/>
        <v>13</v>
      </c>
      <c r="BD40" s="396">
        <f t="shared" si="51"/>
        <v>14</v>
      </c>
      <c r="BE40" s="396">
        <f t="shared" si="52"/>
        <v>15</v>
      </c>
      <c r="BF40" s="396">
        <f t="shared" si="53"/>
        <v>16</v>
      </c>
      <c r="BG40" s="396">
        <f t="shared" si="54"/>
        <v>17</v>
      </c>
      <c r="BH40" s="396">
        <f t="shared" si="55"/>
        <v>18</v>
      </c>
      <c r="BI40" s="396">
        <f t="shared" si="56"/>
        <v>19</v>
      </c>
      <c r="BJ40" s="396">
        <f t="shared" si="57"/>
        <v>20</v>
      </c>
      <c r="BK40" s="396">
        <f t="shared" si="58"/>
        <v>21</v>
      </c>
      <c r="BL40" s="396">
        <f t="shared" si="59"/>
        <v>22</v>
      </c>
    </row>
    <row r="41" spans="1:64" ht="15">
      <c r="A41" s="375">
        <v>40</v>
      </c>
      <c r="B41" s="409">
        <f t="shared" si="61"/>
        <v>1</v>
      </c>
      <c r="C41" s="386"/>
      <c r="D41" s="411">
        <f t="shared" si="62"/>
        <v>-24</v>
      </c>
      <c r="E41" s="396">
        <f t="shared" si="0"/>
        <v>-24</v>
      </c>
      <c r="F41" s="396">
        <f t="shared" si="1"/>
        <v>-24</v>
      </c>
      <c r="G41" s="396">
        <f t="shared" si="2"/>
        <v>-24</v>
      </c>
      <c r="H41" s="396">
        <f t="shared" si="3"/>
        <v>-24</v>
      </c>
      <c r="I41" s="396">
        <f t="shared" si="4"/>
        <v>-24</v>
      </c>
      <c r="J41" s="396">
        <f t="shared" si="5"/>
        <v>-24</v>
      </c>
      <c r="K41" s="396">
        <f t="shared" si="6"/>
        <v>-24</v>
      </c>
      <c r="L41" s="396">
        <f t="shared" si="7"/>
        <v>-24</v>
      </c>
      <c r="M41" s="396">
        <f t="shared" si="8"/>
        <v>-24</v>
      </c>
      <c r="N41" s="396">
        <f t="shared" si="9"/>
        <v>-24</v>
      </c>
      <c r="O41" s="396">
        <f t="shared" si="10"/>
        <v>-24</v>
      </c>
      <c r="P41" s="396">
        <f t="shared" si="11"/>
        <v>-24</v>
      </c>
      <c r="Q41" s="396">
        <f t="shared" si="12"/>
        <v>-24</v>
      </c>
      <c r="R41" s="396">
        <f t="shared" si="13"/>
        <v>-24</v>
      </c>
      <c r="S41" s="396">
        <f t="shared" si="14"/>
        <v>-24</v>
      </c>
      <c r="T41" s="396">
        <f t="shared" si="15"/>
        <v>-23</v>
      </c>
      <c r="U41" s="396">
        <f t="shared" si="16"/>
        <v>-22</v>
      </c>
      <c r="V41" s="396">
        <f t="shared" si="17"/>
        <v>-21</v>
      </c>
      <c r="W41" s="396">
        <f t="shared" si="18"/>
        <v>-20</v>
      </c>
      <c r="X41" s="396">
        <f t="shared" si="19"/>
        <v>-19</v>
      </c>
      <c r="Y41" s="396">
        <f t="shared" si="20"/>
        <v>-18</v>
      </c>
      <c r="Z41" s="396">
        <f t="shared" si="21"/>
        <v>-17</v>
      </c>
      <c r="AA41" s="396">
        <f t="shared" si="22"/>
        <v>-16</v>
      </c>
      <c r="AB41" s="396">
        <f t="shared" si="23"/>
        <v>-15</v>
      </c>
      <c r="AC41" s="396">
        <f t="shared" si="24"/>
        <v>-14</v>
      </c>
      <c r="AD41" s="396">
        <f t="shared" si="25"/>
        <v>-13</v>
      </c>
      <c r="AE41" s="396">
        <f t="shared" si="26"/>
        <v>-12</v>
      </c>
      <c r="AF41" s="396">
        <f t="shared" si="27"/>
        <v>-11</v>
      </c>
      <c r="AG41" s="396">
        <f t="shared" si="28"/>
        <v>-10</v>
      </c>
      <c r="AH41" s="396">
        <f t="shared" si="29"/>
        <v>-9</v>
      </c>
      <c r="AI41" s="396">
        <f t="shared" si="30"/>
        <v>-8</v>
      </c>
      <c r="AJ41" s="396">
        <f t="shared" si="31"/>
        <v>-7</v>
      </c>
      <c r="AK41" s="396">
        <f t="shared" si="32"/>
        <v>-6</v>
      </c>
      <c r="AL41" s="396">
        <f t="shared" si="33"/>
        <v>-5</v>
      </c>
      <c r="AM41" s="396">
        <f t="shared" si="34"/>
        <v>-4</v>
      </c>
      <c r="AN41" s="396">
        <f t="shared" si="35"/>
        <v>-3</v>
      </c>
      <c r="AO41" s="396">
        <f t="shared" si="36"/>
        <v>-2</v>
      </c>
      <c r="AP41" s="396">
        <f t="shared" si="37"/>
        <v>-1</v>
      </c>
      <c r="AQ41" s="396">
        <f t="shared" si="38"/>
        <v>0</v>
      </c>
      <c r="AR41" s="396">
        <f t="shared" si="39"/>
        <v>1</v>
      </c>
      <c r="AS41" s="396">
        <f t="shared" si="40"/>
        <v>2</v>
      </c>
      <c r="AT41" s="396">
        <f t="shared" si="41"/>
        <v>3</v>
      </c>
      <c r="AU41" s="396">
        <f t="shared" si="42"/>
        <v>4</v>
      </c>
      <c r="AV41" s="396">
        <f t="shared" si="43"/>
        <v>5</v>
      </c>
      <c r="AW41" s="396">
        <f t="shared" si="44"/>
        <v>6</v>
      </c>
      <c r="AX41" s="396">
        <f t="shared" si="45"/>
        <v>7</v>
      </c>
      <c r="AY41" s="396">
        <f t="shared" si="46"/>
        <v>8</v>
      </c>
      <c r="AZ41" s="396">
        <f t="shared" si="47"/>
        <v>9</v>
      </c>
      <c r="BA41" s="396">
        <f t="shared" si="48"/>
        <v>10</v>
      </c>
      <c r="BB41" s="396">
        <f t="shared" si="49"/>
        <v>11</v>
      </c>
      <c r="BC41" s="396">
        <f t="shared" si="50"/>
        <v>12</v>
      </c>
      <c r="BD41" s="396">
        <f t="shared" si="51"/>
        <v>13</v>
      </c>
      <c r="BE41" s="396">
        <f t="shared" si="52"/>
        <v>14</v>
      </c>
      <c r="BF41" s="396">
        <f t="shared" si="53"/>
        <v>15</v>
      </c>
      <c r="BG41" s="396">
        <f t="shared" si="54"/>
        <v>16</v>
      </c>
      <c r="BH41" s="396">
        <f t="shared" si="55"/>
        <v>17</v>
      </c>
      <c r="BI41" s="396">
        <f t="shared" si="56"/>
        <v>18</v>
      </c>
      <c r="BJ41" s="396">
        <f t="shared" si="57"/>
        <v>19</v>
      </c>
      <c r="BK41" s="396">
        <f t="shared" si="58"/>
        <v>20</v>
      </c>
      <c r="BL41" s="396">
        <f t="shared" si="59"/>
        <v>21</v>
      </c>
    </row>
    <row r="42" spans="1:64" ht="15">
      <c r="A42" s="375">
        <v>41</v>
      </c>
      <c r="B42" s="409">
        <f t="shared" si="61"/>
        <v>1</v>
      </c>
      <c r="C42" s="386"/>
      <c r="D42" s="411">
        <f t="shared" si="62"/>
        <v>-25</v>
      </c>
      <c r="E42" s="396">
        <f t="shared" si="0"/>
        <v>-25</v>
      </c>
      <c r="F42" s="396">
        <f t="shared" si="1"/>
        <v>-25</v>
      </c>
      <c r="G42" s="396">
        <f t="shared" si="2"/>
        <v>-25</v>
      </c>
      <c r="H42" s="396">
        <f t="shared" si="3"/>
        <v>-25</v>
      </c>
      <c r="I42" s="396">
        <f t="shared" si="4"/>
        <v>-25</v>
      </c>
      <c r="J42" s="396">
        <f t="shared" si="5"/>
        <v>-25</v>
      </c>
      <c r="K42" s="396">
        <f t="shared" si="6"/>
        <v>-25</v>
      </c>
      <c r="L42" s="396">
        <f t="shared" si="7"/>
        <v>-25</v>
      </c>
      <c r="M42" s="396">
        <f t="shared" si="8"/>
        <v>-25</v>
      </c>
      <c r="N42" s="396">
        <f t="shared" si="9"/>
        <v>-25</v>
      </c>
      <c r="O42" s="396">
        <f t="shared" si="10"/>
        <v>-25</v>
      </c>
      <c r="P42" s="396">
        <f t="shared" si="11"/>
        <v>-25</v>
      </c>
      <c r="Q42" s="396">
        <f t="shared" si="12"/>
        <v>-25</v>
      </c>
      <c r="R42" s="396">
        <f t="shared" si="13"/>
        <v>-25</v>
      </c>
      <c r="S42" s="396">
        <f t="shared" si="14"/>
        <v>-25</v>
      </c>
      <c r="T42" s="396">
        <f t="shared" si="15"/>
        <v>-24</v>
      </c>
      <c r="U42" s="396">
        <f t="shared" si="16"/>
        <v>-23</v>
      </c>
      <c r="V42" s="396">
        <f t="shared" si="17"/>
        <v>-22</v>
      </c>
      <c r="W42" s="396">
        <f t="shared" si="18"/>
        <v>-21</v>
      </c>
      <c r="X42" s="396">
        <f t="shared" si="19"/>
        <v>-20</v>
      </c>
      <c r="Y42" s="396">
        <f t="shared" si="20"/>
        <v>-19</v>
      </c>
      <c r="Z42" s="396">
        <f t="shared" si="21"/>
        <v>-18</v>
      </c>
      <c r="AA42" s="396">
        <f t="shared" si="22"/>
        <v>-17</v>
      </c>
      <c r="AB42" s="396">
        <f t="shared" si="23"/>
        <v>-16</v>
      </c>
      <c r="AC42" s="396">
        <f t="shared" si="24"/>
        <v>-15</v>
      </c>
      <c r="AD42" s="396">
        <f t="shared" si="25"/>
        <v>-14</v>
      </c>
      <c r="AE42" s="396">
        <f t="shared" si="26"/>
        <v>-13</v>
      </c>
      <c r="AF42" s="396">
        <f t="shared" si="27"/>
        <v>-12</v>
      </c>
      <c r="AG42" s="396">
        <f t="shared" si="28"/>
        <v>-11</v>
      </c>
      <c r="AH42" s="396">
        <f t="shared" si="29"/>
        <v>-10</v>
      </c>
      <c r="AI42" s="396">
        <f t="shared" si="30"/>
        <v>-9</v>
      </c>
      <c r="AJ42" s="396">
        <f t="shared" si="31"/>
        <v>-8</v>
      </c>
      <c r="AK42" s="396">
        <f t="shared" si="32"/>
        <v>-7</v>
      </c>
      <c r="AL42" s="396">
        <f t="shared" si="33"/>
        <v>-6</v>
      </c>
      <c r="AM42" s="396">
        <f t="shared" si="34"/>
        <v>-5</v>
      </c>
      <c r="AN42" s="396">
        <f t="shared" si="35"/>
        <v>-4</v>
      </c>
      <c r="AO42" s="396">
        <f t="shared" si="36"/>
        <v>-3</v>
      </c>
      <c r="AP42" s="396">
        <f t="shared" si="37"/>
        <v>-2</v>
      </c>
      <c r="AQ42" s="396">
        <f t="shared" si="38"/>
        <v>-1</v>
      </c>
      <c r="AR42" s="396">
        <f t="shared" si="39"/>
        <v>0</v>
      </c>
      <c r="AS42" s="396">
        <f t="shared" si="40"/>
        <v>1</v>
      </c>
      <c r="AT42" s="396">
        <f t="shared" si="41"/>
        <v>2</v>
      </c>
      <c r="AU42" s="396">
        <f t="shared" si="42"/>
        <v>3</v>
      </c>
      <c r="AV42" s="396">
        <f t="shared" si="43"/>
        <v>4</v>
      </c>
      <c r="AW42" s="396">
        <f t="shared" si="44"/>
        <v>5</v>
      </c>
      <c r="AX42" s="396">
        <f t="shared" si="45"/>
        <v>6</v>
      </c>
      <c r="AY42" s="396">
        <f t="shared" si="46"/>
        <v>7</v>
      </c>
      <c r="AZ42" s="396">
        <f t="shared" si="47"/>
        <v>8</v>
      </c>
      <c r="BA42" s="396">
        <f t="shared" si="48"/>
        <v>9</v>
      </c>
      <c r="BB42" s="396">
        <f t="shared" si="49"/>
        <v>10</v>
      </c>
      <c r="BC42" s="396">
        <f t="shared" si="50"/>
        <v>11</v>
      </c>
      <c r="BD42" s="396">
        <f t="shared" si="51"/>
        <v>12</v>
      </c>
      <c r="BE42" s="396">
        <f t="shared" si="52"/>
        <v>13</v>
      </c>
      <c r="BF42" s="396">
        <f t="shared" si="53"/>
        <v>14</v>
      </c>
      <c r="BG42" s="396">
        <f t="shared" si="54"/>
        <v>15</v>
      </c>
      <c r="BH42" s="396">
        <f t="shared" si="55"/>
        <v>16</v>
      </c>
      <c r="BI42" s="396">
        <f t="shared" si="56"/>
        <v>17</v>
      </c>
      <c r="BJ42" s="396">
        <f t="shared" si="57"/>
        <v>18</v>
      </c>
      <c r="BK42" s="396">
        <f t="shared" si="58"/>
        <v>19</v>
      </c>
      <c r="BL42" s="396">
        <f t="shared" si="59"/>
        <v>20</v>
      </c>
    </row>
    <row r="43" spans="1:64" ht="15">
      <c r="A43" s="375">
        <v>42</v>
      </c>
      <c r="B43" s="409">
        <f t="shared" si="61"/>
        <v>1</v>
      </c>
      <c r="C43" s="386"/>
      <c r="D43" s="411">
        <f t="shared" si="62"/>
        <v>-26</v>
      </c>
      <c r="E43" s="396">
        <f t="shared" si="0"/>
        <v>-26</v>
      </c>
      <c r="F43" s="396">
        <f t="shared" si="1"/>
        <v>-26</v>
      </c>
      <c r="G43" s="396">
        <f t="shared" si="2"/>
        <v>-26</v>
      </c>
      <c r="H43" s="396">
        <f t="shared" si="3"/>
        <v>-26</v>
      </c>
      <c r="I43" s="396">
        <f t="shared" si="4"/>
        <v>-26</v>
      </c>
      <c r="J43" s="396">
        <f t="shared" si="5"/>
        <v>-26</v>
      </c>
      <c r="K43" s="396">
        <f t="shared" si="6"/>
        <v>-26</v>
      </c>
      <c r="L43" s="396">
        <f t="shared" si="7"/>
        <v>-26</v>
      </c>
      <c r="M43" s="396">
        <f t="shared" si="8"/>
        <v>-26</v>
      </c>
      <c r="N43" s="396">
        <f t="shared" si="9"/>
        <v>-26</v>
      </c>
      <c r="O43" s="396">
        <f t="shared" si="10"/>
        <v>-26</v>
      </c>
      <c r="P43" s="396">
        <f t="shared" si="11"/>
        <v>-26</v>
      </c>
      <c r="Q43" s="396">
        <f t="shared" si="12"/>
        <v>-26</v>
      </c>
      <c r="R43" s="396">
        <f t="shared" si="13"/>
        <v>-26</v>
      </c>
      <c r="S43" s="396">
        <f t="shared" si="14"/>
        <v>-26</v>
      </c>
      <c r="T43" s="396">
        <f t="shared" si="15"/>
        <v>-25</v>
      </c>
      <c r="U43" s="396">
        <f t="shared" si="16"/>
        <v>-24</v>
      </c>
      <c r="V43" s="396">
        <f t="shared" si="17"/>
        <v>-23</v>
      </c>
      <c r="W43" s="396">
        <f t="shared" si="18"/>
        <v>-22</v>
      </c>
      <c r="X43" s="396">
        <f t="shared" si="19"/>
        <v>-21</v>
      </c>
      <c r="Y43" s="396">
        <f t="shared" si="20"/>
        <v>-20</v>
      </c>
      <c r="Z43" s="396">
        <f t="shared" si="21"/>
        <v>-19</v>
      </c>
      <c r="AA43" s="396">
        <f t="shared" si="22"/>
        <v>-18</v>
      </c>
      <c r="AB43" s="396">
        <f t="shared" si="23"/>
        <v>-17</v>
      </c>
      <c r="AC43" s="396">
        <f t="shared" si="24"/>
        <v>-16</v>
      </c>
      <c r="AD43" s="396">
        <f t="shared" si="25"/>
        <v>-15</v>
      </c>
      <c r="AE43" s="396">
        <f t="shared" si="26"/>
        <v>-14</v>
      </c>
      <c r="AF43" s="396">
        <f t="shared" si="27"/>
        <v>-13</v>
      </c>
      <c r="AG43" s="396">
        <f t="shared" si="28"/>
        <v>-12</v>
      </c>
      <c r="AH43" s="396">
        <f t="shared" si="29"/>
        <v>-11</v>
      </c>
      <c r="AI43" s="396">
        <f t="shared" si="30"/>
        <v>-10</v>
      </c>
      <c r="AJ43" s="396">
        <f t="shared" si="31"/>
        <v>-9</v>
      </c>
      <c r="AK43" s="396">
        <f t="shared" si="32"/>
        <v>-8</v>
      </c>
      <c r="AL43" s="396">
        <f t="shared" si="33"/>
        <v>-7</v>
      </c>
      <c r="AM43" s="396">
        <f t="shared" si="34"/>
        <v>-6</v>
      </c>
      <c r="AN43" s="396">
        <f t="shared" si="35"/>
        <v>-5</v>
      </c>
      <c r="AO43" s="396">
        <f t="shared" si="36"/>
        <v>-4</v>
      </c>
      <c r="AP43" s="396">
        <f t="shared" si="37"/>
        <v>-3</v>
      </c>
      <c r="AQ43" s="396">
        <f t="shared" si="38"/>
        <v>-2</v>
      </c>
      <c r="AR43" s="396">
        <f t="shared" si="39"/>
        <v>-1</v>
      </c>
      <c r="AS43" s="396">
        <f t="shared" si="40"/>
        <v>0</v>
      </c>
      <c r="AT43" s="396">
        <f t="shared" si="41"/>
        <v>1</v>
      </c>
      <c r="AU43" s="396">
        <f t="shared" si="42"/>
        <v>2</v>
      </c>
      <c r="AV43" s="396">
        <f t="shared" si="43"/>
        <v>3</v>
      </c>
      <c r="AW43" s="396">
        <f t="shared" si="44"/>
        <v>4</v>
      </c>
      <c r="AX43" s="396">
        <f t="shared" si="45"/>
        <v>5</v>
      </c>
      <c r="AY43" s="396">
        <f t="shared" si="46"/>
        <v>6</v>
      </c>
      <c r="AZ43" s="396">
        <f t="shared" si="47"/>
        <v>7</v>
      </c>
      <c r="BA43" s="396">
        <f t="shared" si="48"/>
        <v>8</v>
      </c>
      <c r="BB43" s="396">
        <f t="shared" si="49"/>
        <v>9</v>
      </c>
      <c r="BC43" s="396">
        <f t="shared" si="50"/>
        <v>10</v>
      </c>
      <c r="BD43" s="396">
        <f t="shared" si="51"/>
        <v>11</v>
      </c>
      <c r="BE43" s="396">
        <f t="shared" si="52"/>
        <v>12</v>
      </c>
      <c r="BF43" s="396">
        <f t="shared" si="53"/>
        <v>13</v>
      </c>
      <c r="BG43" s="396">
        <f t="shared" si="54"/>
        <v>14</v>
      </c>
      <c r="BH43" s="396">
        <f t="shared" si="55"/>
        <v>15</v>
      </c>
      <c r="BI43" s="396">
        <f t="shared" si="56"/>
        <v>16</v>
      </c>
      <c r="BJ43" s="396">
        <f t="shared" si="57"/>
        <v>17</v>
      </c>
      <c r="BK43" s="396">
        <f t="shared" si="58"/>
        <v>18</v>
      </c>
      <c r="BL43" s="396">
        <f t="shared" si="59"/>
        <v>19</v>
      </c>
    </row>
    <row r="44" spans="1:64" ht="15">
      <c r="A44" s="375">
        <v>43</v>
      </c>
      <c r="B44" s="409">
        <f t="shared" si="61"/>
        <v>1</v>
      </c>
      <c r="C44" s="386"/>
      <c r="D44" s="411">
        <f t="shared" si="62"/>
        <v>-27</v>
      </c>
      <c r="E44" s="396">
        <f t="shared" si="0"/>
        <v>-27</v>
      </c>
      <c r="F44" s="396">
        <f t="shared" si="1"/>
        <v>-27</v>
      </c>
      <c r="G44" s="396">
        <f t="shared" si="2"/>
        <v>-27</v>
      </c>
      <c r="H44" s="396">
        <f t="shared" si="3"/>
        <v>-27</v>
      </c>
      <c r="I44" s="396">
        <f t="shared" si="4"/>
        <v>-27</v>
      </c>
      <c r="J44" s="396">
        <f t="shared" si="5"/>
        <v>-27</v>
      </c>
      <c r="K44" s="396">
        <f t="shared" si="6"/>
        <v>-27</v>
      </c>
      <c r="L44" s="396">
        <f t="shared" si="7"/>
        <v>-27</v>
      </c>
      <c r="M44" s="396">
        <f t="shared" si="8"/>
        <v>-27</v>
      </c>
      <c r="N44" s="396">
        <f t="shared" si="9"/>
        <v>-27</v>
      </c>
      <c r="O44" s="396">
        <f t="shared" si="10"/>
        <v>-27</v>
      </c>
      <c r="P44" s="396">
        <f t="shared" si="11"/>
        <v>-27</v>
      </c>
      <c r="Q44" s="396">
        <f t="shared" si="12"/>
        <v>-27</v>
      </c>
      <c r="R44" s="396">
        <f t="shared" si="13"/>
        <v>-27</v>
      </c>
      <c r="S44" s="396">
        <f t="shared" si="14"/>
        <v>-27</v>
      </c>
      <c r="T44" s="396">
        <f t="shared" si="15"/>
        <v>-26</v>
      </c>
      <c r="U44" s="396">
        <f t="shared" si="16"/>
        <v>-25</v>
      </c>
      <c r="V44" s="396">
        <f t="shared" si="17"/>
        <v>-24</v>
      </c>
      <c r="W44" s="396">
        <f t="shared" si="18"/>
        <v>-23</v>
      </c>
      <c r="X44" s="396">
        <f t="shared" si="19"/>
        <v>-22</v>
      </c>
      <c r="Y44" s="396">
        <f t="shared" si="20"/>
        <v>-21</v>
      </c>
      <c r="Z44" s="396">
        <f t="shared" si="21"/>
        <v>-20</v>
      </c>
      <c r="AA44" s="396">
        <f t="shared" si="22"/>
        <v>-19</v>
      </c>
      <c r="AB44" s="396">
        <f t="shared" si="23"/>
        <v>-18</v>
      </c>
      <c r="AC44" s="396">
        <f t="shared" si="24"/>
        <v>-17</v>
      </c>
      <c r="AD44" s="396">
        <f t="shared" si="25"/>
        <v>-16</v>
      </c>
      <c r="AE44" s="396">
        <f t="shared" si="26"/>
        <v>-15</v>
      </c>
      <c r="AF44" s="396">
        <f t="shared" si="27"/>
        <v>-14</v>
      </c>
      <c r="AG44" s="396">
        <f t="shared" si="28"/>
        <v>-13</v>
      </c>
      <c r="AH44" s="396">
        <f t="shared" si="29"/>
        <v>-12</v>
      </c>
      <c r="AI44" s="396">
        <f t="shared" si="30"/>
        <v>-11</v>
      </c>
      <c r="AJ44" s="396">
        <f t="shared" si="31"/>
        <v>-10</v>
      </c>
      <c r="AK44" s="396">
        <f t="shared" si="32"/>
        <v>-9</v>
      </c>
      <c r="AL44" s="396">
        <f t="shared" si="33"/>
        <v>-8</v>
      </c>
      <c r="AM44" s="396">
        <f t="shared" si="34"/>
        <v>-7</v>
      </c>
      <c r="AN44" s="396">
        <f t="shared" si="35"/>
        <v>-6</v>
      </c>
      <c r="AO44" s="396">
        <f t="shared" si="36"/>
        <v>-5</v>
      </c>
      <c r="AP44" s="396">
        <f t="shared" si="37"/>
        <v>-4</v>
      </c>
      <c r="AQ44" s="396">
        <f t="shared" si="38"/>
        <v>-3</v>
      </c>
      <c r="AR44" s="396">
        <f t="shared" si="39"/>
        <v>-2</v>
      </c>
      <c r="AS44" s="396">
        <f t="shared" si="40"/>
        <v>-1</v>
      </c>
      <c r="AT44" s="396">
        <f t="shared" si="41"/>
        <v>0</v>
      </c>
      <c r="AU44" s="396">
        <f t="shared" si="42"/>
        <v>1</v>
      </c>
      <c r="AV44" s="396">
        <f t="shared" si="43"/>
        <v>2</v>
      </c>
      <c r="AW44" s="396">
        <f t="shared" si="44"/>
        <v>3</v>
      </c>
      <c r="AX44" s="396">
        <f t="shared" si="45"/>
        <v>4</v>
      </c>
      <c r="AY44" s="396">
        <f t="shared" si="46"/>
        <v>5</v>
      </c>
      <c r="AZ44" s="396">
        <f t="shared" si="47"/>
        <v>6</v>
      </c>
      <c r="BA44" s="396">
        <f t="shared" si="48"/>
        <v>7</v>
      </c>
      <c r="BB44" s="396">
        <f t="shared" si="49"/>
        <v>8</v>
      </c>
      <c r="BC44" s="396">
        <f t="shared" si="50"/>
        <v>9</v>
      </c>
      <c r="BD44" s="396">
        <f t="shared" si="51"/>
        <v>10</v>
      </c>
      <c r="BE44" s="396">
        <f t="shared" si="52"/>
        <v>11</v>
      </c>
      <c r="BF44" s="396">
        <f t="shared" si="53"/>
        <v>12</v>
      </c>
      <c r="BG44" s="396">
        <f t="shared" si="54"/>
        <v>13</v>
      </c>
      <c r="BH44" s="396">
        <f t="shared" si="55"/>
        <v>14</v>
      </c>
      <c r="BI44" s="396">
        <f t="shared" si="56"/>
        <v>15</v>
      </c>
      <c r="BJ44" s="396">
        <f t="shared" si="57"/>
        <v>16</v>
      </c>
      <c r="BK44" s="396">
        <f t="shared" si="58"/>
        <v>17</v>
      </c>
      <c r="BL44" s="396">
        <f t="shared" si="59"/>
        <v>18</v>
      </c>
    </row>
    <row r="45" spans="1:64" ht="15">
      <c r="A45" s="375">
        <v>44</v>
      </c>
      <c r="B45" s="409">
        <f t="shared" si="61"/>
        <v>1</v>
      </c>
      <c r="C45" s="386"/>
      <c r="D45" s="411">
        <f t="shared" si="62"/>
        <v>-28</v>
      </c>
      <c r="E45" s="396">
        <f t="shared" si="0"/>
        <v>-28</v>
      </c>
      <c r="F45" s="396">
        <f t="shared" si="1"/>
        <v>-28</v>
      </c>
      <c r="G45" s="396">
        <f t="shared" si="2"/>
        <v>-28</v>
      </c>
      <c r="H45" s="396">
        <f t="shared" si="3"/>
        <v>-28</v>
      </c>
      <c r="I45" s="396">
        <f t="shared" si="4"/>
        <v>-28</v>
      </c>
      <c r="J45" s="396">
        <f t="shared" si="5"/>
        <v>-28</v>
      </c>
      <c r="K45" s="396">
        <f t="shared" si="6"/>
        <v>-28</v>
      </c>
      <c r="L45" s="396">
        <f t="shared" si="7"/>
        <v>-28</v>
      </c>
      <c r="M45" s="396">
        <f t="shared" si="8"/>
        <v>-28</v>
      </c>
      <c r="N45" s="396">
        <f t="shared" si="9"/>
        <v>-28</v>
      </c>
      <c r="O45" s="396">
        <f t="shared" si="10"/>
        <v>-28</v>
      </c>
      <c r="P45" s="396">
        <f t="shared" si="11"/>
        <v>-28</v>
      </c>
      <c r="Q45" s="396">
        <f t="shared" si="12"/>
        <v>-28</v>
      </c>
      <c r="R45" s="396">
        <f t="shared" si="13"/>
        <v>-28</v>
      </c>
      <c r="S45" s="396">
        <f t="shared" si="14"/>
        <v>-28</v>
      </c>
      <c r="T45" s="396">
        <f t="shared" si="15"/>
        <v>-27</v>
      </c>
      <c r="U45" s="396">
        <f t="shared" si="16"/>
        <v>-26</v>
      </c>
      <c r="V45" s="396">
        <f t="shared" si="17"/>
        <v>-25</v>
      </c>
      <c r="W45" s="396">
        <f t="shared" si="18"/>
        <v>-24</v>
      </c>
      <c r="X45" s="396">
        <f t="shared" si="19"/>
        <v>-23</v>
      </c>
      <c r="Y45" s="396">
        <f t="shared" si="20"/>
        <v>-22</v>
      </c>
      <c r="Z45" s="396">
        <f t="shared" si="21"/>
        <v>-21</v>
      </c>
      <c r="AA45" s="396">
        <f t="shared" si="22"/>
        <v>-20</v>
      </c>
      <c r="AB45" s="396">
        <f t="shared" si="23"/>
        <v>-19</v>
      </c>
      <c r="AC45" s="396">
        <f t="shared" si="24"/>
        <v>-18</v>
      </c>
      <c r="AD45" s="396">
        <f t="shared" si="25"/>
        <v>-17</v>
      </c>
      <c r="AE45" s="396">
        <f t="shared" si="26"/>
        <v>-16</v>
      </c>
      <c r="AF45" s="396">
        <f t="shared" si="27"/>
        <v>-15</v>
      </c>
      <c r="AG45" s="396">
        <f t="shared" si="28"/>
        <v>-14</v>
      </c>
      <c r="AH45" s="396">
        <f t="shared" si="29"/>
        <v>-13</v>
      </c>
      <c r="AI45" s="396">
        <f t="shared" si="30"/>
        <v>-12</v>
      </c>
      <c r="AJ45" s="396">
        <f t="shared" si="31"/>
        <v>-11</v>
      </c>
      <c r="AK45" s="396">
        <f t="shared" si="32"/>
        <v>-10</v>
      </c>
      <c r="AL45" s="396">
        <f t="shared" si="33"/>
        <v>-9</v>
      </c>
      <c r="AM45" s="396">
        <f t="shared" si="34"/>
        <v>-8</v>
      </c>
      <c r="AN45" s="396">
        <f t="shared" si="35"/>
        <v>-7</v>
      </c>
      <c r="AO45" s="396">
        <f t="shared" si="36"/>
        <v>-6</v>
      </c>
      <c r="AP45" s="396">
        <f t="shared" si="37"/>
        <v>-5</v>
      </c>
      <c r="AQ45" s="396">
        <f t="shared" si="38"/>
        <v>-4</v>
      </c>
      <c r="AR45" s="396">
        <f t="shared" si="39"/>
        <v>-3</v>
      </c>
      <c r="AS45" s="396">
        <f t="shared" si="40"/>
        <v>-2</v>
      </c>
      <c r="AT45" s="396">
        <f t="shared" si="41"/>
        <v>-1</v>
      </c>
      <c r="AU45" s="396">
        <f t="shared" si="42"/>
        <v>0</v>
      </c>
      <c r="AV45" s="396">
        <f t="shared" si="43"/>
        <v>1</v>
      </c>
      <c r="AW45" s="396">
        <f t="shared" si="44"/>
        <v>2</v>
      </c>
      <c r="AX45" s="396">
        <f t="shared" si="45"/>
        <v>3</v>
      </c>
      <c r="AY45" s="396">
        <f t="shared" si="46"/>
        <v>4</v>
      </c>
      <c r="AZ45" s="396">
        <f t="shared" si="47"/>
        <v>5</v>
      </c>
      <c r="BA45" s="396">
        <f t="shared" si="48"/>
        <v>6</v>
      </c>
      <c r="BB45" s="396">
        <f t="shared" si="49"/>
        <v>7</v>
      </c>
      <c r="BC45" s="396">
        <f t="shared" si="50"/>
        <v>8</v>
      </c>
      <c r="BD45" s="396">
        <f t="shared" si="51"/>
        <v>9</v>
      </c>
      <c r="BE45" s="396">
        <f t="shared" si="52"/>
        <v>10</v>
      </c>
      <c r="BF45" s="396">
        <f t="shared" si="53"/>
        <v>11</v>
      </c>
      <c r="BG45" s="396">
        <f t="shared" si="54"/>
        <v>12</v>
      </c>
      <c r="BH45" s="396">
        <f t="shared" si="55"/>
        <v>13</v>
      </c>
      <c r="BI45" s="396">
        <f t="shared" si="56"/>
        <v>14</v>
      </c>
      <c r="BJ45" s="396">
        <f t="shared" si="57"/>
        <v>15</v>
      </c>
      <c r="BK45" s="396">
        <f t="shared" si="58"/>
        <v>16</v>
      </c>
      <c r="BL45" s="396">
        <f t="shared" si="59"/>
        <v>17</v>
      </c>
    </row>
    <row r="46" spans="1:64" ht="15">
      <c r="A46" s="375">
        <v>45</v>
      </c>
      <c r="B46" s="409">
        <f t="shared" si="61"/>
        <v>1</v>
      </c>
      <c r="C46" s="386"/>
      <c r="D46" s="411">
        <f t="shared" si="62"/>
        <v>-29</v>
      </c>
      <c r="E46" s="396">
        <f t="shared" si="0"/>
        <v>-29</v>
      </c>
      <c r="F46" s="396">
        <f t="shared" si="1"/>
        <v>-29</v>
      </c>
      <c r="G46" s="396">
        <f t="shared" si="2"/>
        <v>-29</v>
      </c>
      <c r="H46" s="396">
        <f t="shared" si="3"/>
        <v>-29</v>
      </c>
      <c r="I46" s="396">
        <f t="shared" si="4"/>
        <v>-29</v>
      </c>
      <c r="J46" s="396">
        <f t="shared" si="5"/>
        <v>-29</v>
      </c>
      <c r="K46" s="396">
        <f t="shared" si="6"/>
        <v>-29</v>
      </c>
      <c r="L46" s="396">
        <f t="shared" si="7"/>
        <v>-29</v>
      </c>
      <c r="M46" s="396">
        <f t="shared" si="8"/>
        <v>-29</v>
      </c>
      <c r="N46" s="396">
        <f t="shared" si="9"/>
        <v>-29</v>
      </c>
      <c r="O46" s="396">
        <f t="shared" si="10"/>
        <v>-29</v>
      </c>
      <c r="P46" s="396">
        <f t="shared" si="11"/>
        <v>-29</v>
      </c>
      <c r="Q46" s="396">
        <f t="shared" si="12"/>
        <v>-29</v>
      </c>
      <c r="R46" s="396">
        <f t="shared" si="13"/>
        <v>-29</v>
      </c>
      <c r="S46" s="396">
        <f t="shared" si="14"/>
        <v>-29</v>
      </c>
      <c r="T46" s="396">
        <f t="shared" si="15"/>
        <v>-28</v>
      </c>
      <c r="U46" s="396">
        <f t="shared" si="16"/>
        <v>-27</v>
      </c>
      <c r="V46" s="396">
        <f t="shared" si="17"/>
        <v>-26</v>
      </c>
      <c r="W46" s="396">
        <f t="shared" si="18"/>
        <v>-25</v>
      </c>
      <c r="X46" s="396">
        <f t="shared" si="19"/>
        <v>-24</v>
      </c>
      <c r="Y46" s="396">
        <f t="shared" si="20"/>
        <v>-23</v>
      </c>
      <c r="Z46" s="396">
        <f t="shared" si="21"/>
        <v>-22</v>
      </c>
      <c r="AA46" s="396">
        <f t="shared" si="22"/>
        <v>-21</v>
      </c>
      <c r="AB46" s="396">
        <f t="shared" si="23"/>
        <v>-20</v>
      </c>
      <c r="AC46" s="396">
        <f t="shared" si="24"/>
        <v>-19</v>
      </c>
      <c r="AD46" s="396">
        <f t="shared" si="25"/>
        <v>-18</v>
      </c>
      <c r="AE46" s="396">
        <f t="shared" si="26"/>
        <v>-17</v>
      </c>
      <c r="AF46" s="396">
        <f t="shared" si="27"/>
        <v>-16</v>
      </c>
      <c r="AG46" s="396">
        <f t="shared" si="28"/>
        <v>-15</v>
      </c>
      <c r="AH46" s="396">
        <f t="shared" si="29"/>
        <v>-14</v>
      </c>
      <c r="AI46" s="396">
        <f t="shared" si="30"/>
        <v>-13</v>
      </c>
      <c r="AJ46" s="396">
        <f t="shared" si="31"/>
        <v>-12</v>
      </c>
      <c r="AK46" s="396">
        <f t="shared" si="32"/>
        <v>-11</v>
      </c>
      <c r="AL46" s="396">
        <f t="shared" si="33"/>
        <v>-10</v>
      </c>
      <c r="AM46" s="396">
        <f t="shared" si="34"/>
        <v>-9</v>
      </c>
      <c r="AN46" s="396">
        <f t="shared" si="35"/>
        <v>-8</v>
      </c>
      <c r="AO46" s="396">
        <f t="shared" si="36"/>
        <v>-7</v>
      </c>
      <c r="AP46" s="396">
        <f t="shared" si="37"/>
        <v>-6</v>
      </c>
      <c r="AQ46" s="396">
        <f t="shared" si="38"/>
        <v>-5</v>
      </c>
      <c r="AR46" s="396">
        <f t="shared" si="39"/>
        <v>-4</v>
      </c>
      <c r="AS46" s="396">
        <f t="shared" si="40"/>
        <v>-3</v>
      </c>
      <c r="AT46" s="396">
        <f t="shared" si="41"/>
        <v>-2</v>
      </c>
      <c r="AU46" s="396">
        <f t="shared" si="42"/>
        <v>-1</v>
      </c>
      <c r="AV46" s="396">
        <f t="shared" si="43"/>
        <v>0</v>
      </c>
      <c r="AW46" s="396">
        <f t="shared" si="44"/>
        <v>1</v>
      </c>
      <c r="AX46" s="396">
        <f t="shared" si="45"/>
        <v>2</v>
      </c>
      <c r="AY46" s="396">
        <f t="shared" si="46"/>
        <v>3</v>
      </c>
      <c r="AZ46" s="396">
        <f t="shared" si="47"/>
        <v>4</v>
      </c>
      <c r="BA46" s="396">
        <f t="shared" si="48"/>
        <v>5</v>
      </c>
      <c r="BB46" s="396">
        <f t="shared" si="49"/>
        <v>6</v>
      </c>
      <c r="BC46" s="396">
        <f t="shared" si="50"/>
        <v>7</v>
      </c>
      <c r="BD46" s="396">
        <f t="shared" si="51"/>
        <v>8</v>
      </c>
      <c r="BE46" s="396">
        <f t="shared" si="52"/>
        <v>9</v>
      </c>
      <c r="BF46" s="396">
        <f t="shared" si="53"/>
        <v>10</v>
      </c>
      <c r="BG46" s="396">
        <f t="shared" si="54"/>
        <v>11</v>
      </c>
      <c r="BH46" s="396">
        <f t="shared" si="55"/>
        <v>12</v>
      </c>
      <c r="BI46" s="396">
        <f t="shared" si="56"/>
        <v>13</v>
      </c>
      <c r="BJ46" s="396">
        <f t="shared" si="57"/>
        <v>14</v>
      </c>
      <c r="BK46" s="396">
        <f t="shared" si="58"/>
        <v>15</v>
      </c>
      <c r="BL46" s="396">
        <f t="shared" si="59"/>
        <v>16</v>
      </c>
    </row>
    <row r="47" spans="1:64" ht="15">
      <c r="A47" s="375">
        <v>46</v>
      </c>
      <c r="B47" s="409">
        <f t="shared" si="61"/>
        <v>1</v>
      </c>
      <c r="C47" s="386"/>
      <c r="D47" s="411">
        <f t="shared" si="62"/>
        <v>-30</v>
      </c>
      <c r="E47" s="396">
        <f t="shared" si="0"/>
        <v>-30</v>
      </c>
      <c r="F47" s="396">
        <f t="shared" si="1"/>
        <v>-30</v>
      </c>
      <c r="G47" s="396">
        <f t="shared" si="2"/>
        <v>-30</v>
      </c>
      <c r="H47" s="396">
        <f t="shared" si="3"/>
        <v>-30</v>
      </c>
      <c r="I47" s="396">
        <f t="shared" si="4"/>
        <v>-30</v>
      </c>
      <c r="J47" s="396">
        <f t="shared" si="5"/>
        <v>-30</v>
      </c>
      <c r="K47" s="396">
        <f t="shared" si="6"/>
        <v>-30</v>
      </c>
      <c r="L47" s="396">
        <f t="shared" si="7"/>
        <v>-30</v>
      </c>
      <c r="M47" s="396">
        <f t="shared" si="8"/>
        <v>-30</v>
      </c>
      <c r="N47" s="396">
        <f t="shared" si="9"/>
        <v>-30</v>
      </c>
      <c r="O47" s="396">
        <f t="shared" si="10"/>
        <v>-30</v>
      </c>
      <c r="P47" s="396">
        <f t="shared" si="11"/>
        <v>-30</v>
      </c>
      <c r="Q47" s="396">
        <f t="shared" si="12"/>
        <v>-30</v>
      </c>
      <c r="R47" s="396">
        <f t="shared" si="13"/>
        <v>-30</v>
      </c>
      <c r="S47" s="396">
        <f t="shared" si="14"/>
        <v>-30</v>
      </c>
      <c r="T47" s="396">
        <f t="shared" si="15"/>
        <v>-29</v>
      </c>
      <c r="U47" s="396">
        <f t="shared" si="16"/>
        <v>-28</v>
      </c>
      <c r="V47" s="396">
        <f t="shared" si="17"/>
        <v>-27</v>
      </c>
      <c r="W47" s="396">
        <f t="shared" si="18"/>
        <v>-26</v>
      </c>
      <c r="X47" s="396">
        <f t="shared" si="19"/>
        <v>-25</v>
      </c>
      <c r="Y47" s="396">
        <f t="shared" si="20"/>
        <v>-24</v>
      </c>
      <c r="Z47" s="396">
        <f t="shared" si="21"/>
        <v>-23</v>
      </c>
      <c r="AA47" s="396">
        <f t="shared" si="22"/>
        <v>-22</v>
      </c>
      <c r="AB47" s="396">
        <f t="shared" si="23"/>
        <v>-21</v>
      </c>
      <c r="AC47" s="396">
        <f t="shared" si="24"/>
        <v>-20</v>
      </c>
      <c r="AD47" s="396">
        <f t="shared" si="25"/>
        <v>-19</v>
      </c>
      <c r="AE47" s="396">
        <f t="shared" si="26"/>
        <v>-18</v>
      </c>
      <c r="AF47" s="396">
        <f t="shared" si="27"/>
        <v>-17</v>
      </c>
      <c r="AG47" s="396">
        <f t="shared" si="28"/>
        <v>-16</v>
      </c>
      <c r="AH47" s="396">
        <f t="shared" si="29"/>
        <v>-15</v>
      </c>
      <c r="AI47" s="396">
        <f t="shared" si="30"/>
        <v>-14</v>
      </c>
      <c r="AJ47" s="396">
        <f t="shared" si="31"/>
        <v>-13</v>
      </c>
      <c r="AK47" s="396">
        <f t="shared" si="32"/>
        <v>-12</v>
      </c>
      <c r="AL47" s="396">
        <f t="shared" si="33"/>
        <v>-11</v>
      </c>
      <c r="AM47" s="396">
        <f t="shared" si="34"/>
        <v>-10</v>
      </c>
      <c r="AN47" s="396">
        <f t="shared" si="35"/>
        <v>-9</v>
      </c>
      <c r="AO47" s="396">
        <f t="shared" si="36"/>
        <v>-8</v>
      </c>
      <c r="AP47" s="396">
        <f t="shared" si="37"/>
        <v>-7</v>
      </c>
      <c r="AQ47" s="396">
        <f t="shared" si="38"/>
        <v>-6</v>
      </c>
      <c r="AR47" s="396">
        <f t="shared" si="39"/>
        <v>-5</v>
      </c>
      <c r="AS47" s="396">
        <f t="shared" si="40"/>
        <v>-4</v>
      </c>
      <c r="AT47" s="396">
        <f t="shared" si="41"/>
        <v>-3</v>
      </c>
      <c r="AU47" s="396">
        <f t="shared" si="42"/>
        <v>-2</v>
      </c>
      <c r="AV47" s="396">
        <f t="shared" si="43"/>
        <v>-1</v>
      </c>
      <c r="AW47" s="396">
        <f t="shared" si="44"/>
        <v>0</v>
      </c>
      <c r="AX47" s="396">
        <f t="shared" si="45"/>
        <v>1</v>
      </c>
      <c r="AY47" s="396">
        <f t="shared" si="46"/>
        <v>2</v>
      </c>
      <c r="AZ47" s="396">
        <f t="shared" si="47"/>
        <v>3</v>
      </c>
      <c r="BA47" s="396">
        <f t="shared" si="48"/>
        <v>4</v>
      </c>
      <c r="BB47" s="396">
        <f t="shared" si="49"/>
        <v>5</v>
      </c>
      <c r="BC47" s="396">
        <f t="shared" si="50"/>
        <v>6</v>
      </c>
      <c r="BD47" s="396">
        <f t="shared" si="51"/>
        <v>7</v>
      </c>
      <c r="BE47" s="396">
        <f t="shared" si="52"/>
        <v>8</v>
      </c>
      <c r="BF47" s="396">
        <f t="shared" si="53"/>
        <v>9</v>
      </c>
      <c r="BG47" s="396">
        <f t="shared" si="54"/>
        <v>10</v>
      </c>
      <c r="BH47" s="396">
        <f t="shared" si="55"/>
        <v>11</v>
      </c>
      <c r="BI47" s="396">
        <f t="shared" si="56"/>
        <v>12</v>
      </c>
      <c r="BJ47" s="396">
        <f t="shared" si="57"/>
        <v>13</v>
      </c>
      <c r="BK47" s="396">
        <f t="shared" si="58"/>
        <v>14</v>
      </c>
      <c r="BL47" s="396">
        <f t="shared" si="59"/>
        <v>15</v>
      </c>
    </row>
    <row r="48" spans="1:64" ht="15">
      <c r="A48" s="375">
        <v>47</v>
      </c>
      <c r="B48" s="409">
        <f t="shared" si="61"/>
        <v>1</v>
      </c>
      <c r="C48" s="386"/>
      <c r="D48" s="411">
        <f t="shared" si="62"/>
        <v>-31</v>
      </c>
      <c r="E48" s="396">
        <f t="shared" si="0"/>
        <v>-31</v>
      </c>
      <c r="F48" s="396">
        <f t="shared" si="1"/>
        <v>-31</v>
      </c>
      <c r="G48" s="396">
        <f t="shared" si="2"/>
        <v>-31</v>
      </c>
      <c r="H48" s="396">
        <f t="shared" si="3"/>
        <v>-31</v>
      </c>
      <c r="I48" s="396">
        <f t="shared" si="4"/>
        <v>-31</v>
      </c>
      <c r="J48" s="396">
        <f t="shared" si="5"/>
        <v>-31</v>
      </c>
      <c r="K48" s="396">
        <f t="shared" si="6"/>
        <v>-31</v>
      </c>
      <c r="L48" s="396">
        <f t="shared" si="7"/>
        <v>-31</v>
      </c>
      <c r="M48" s="396">
        <f t="shared" si="8"/>
        <v>-31</v>
      </c>
      <c r="N48" s="396">
        <f t="shared" si="9"/>
        <v>-31</v>
      </c>
      <c r="O48" s="396">
        <f t="shared" si="10"/>
        <v>-31</v>
      </c>
      <c r="P48" s="396">
        <f t="shared" si="11"/>
        <v>-31</v>
      </c>
      <c r="Q48" s="396">
        <f t="shared" si="12"/>
        <v>-31</v>
      </c>
      <c r="R48" s="396">
        <f t="shared" si="13"/>
        <v>-31</v>
      </c>
      <c r="S48" s="396">
        <f t="shared" si="14"/>
        <v>-31</v>
      </c>
      <c r="T48" s="396">
        <f t="shared" si="15"/>
        <v>-30</v>
      </c>
      <c r="U48" s="396">
        <f t="shared" si="16"/>
        <v>-29</v>
      </c>
      <c r="V48" s="396">
        <f t="shared" si="17"/>
        <v>-28</v>
      </c>
      <c r="W48" s="396">
        <f t="shared" si="18"/>
        <v>-27</v>
      </c>
      <c r="X48" s="396">
        <f t="shared" si="19"/>
        <v>-26</v>
      </c>
      <c r="Y48" s="396">
        <f t="shared" si="20"/>
        <v>-25</v>
      </c>
      <c r="Z48" s="396">
        <f t="shared" si="21"/>
        <v>-24</v>
      </c>
      <c r="AA48" s="396">
        <f t="shared" si="22"/>
        <v>-23</v>
      </c>
      <c r="AB48" s="396">
        <f t="shared" si="23"/>
        <v>-22</v>
      </c>
      <c r="AC48" s="396">
        <f t="shared" si="24"/>
        <v>-21</v>
      </c>
      <c r="AD48" s="396">
        <f t="shared" si="25"/>
        <v>-20</v>
      </c>
      <c r="AE48" s="396">
        <f t="shared" si="26"/>
        <v>-19</v>
      </c>
      <c r="AF48" s="396">
        <f t="shared" si="27"/>
        <v>-18</v>
      </c>
      <c r="AG48" s="396">
        <f t="shared" si="28"/>
        <v>-17</v>
      </c>
      <c r="AH48" s="396">
        <f t="shared" si="29"/>
        <v>-16</v>
      </c>
      <c r="AI48" s="396">
        <f t="shared" si="30"/>
        <v>-15</v>
      </c>
      <c r="AJ48" s="396">
        <f t="shared" si="31"/>
        <v>-14</v>
      </c>
      <c r="AK48" s="396">
        <f t="shared" si="32"/>
        <v>-13</v>
      </c>
      <c r="AL48" s="396">
        <f t="shared" si="33"/>
        <v>-12</v>
      </c>
      <c r="AM48" s="396">
        <f t="shared" si="34"/>
        <v>-11</v>
      </c>
      <c r="AN48" s="396">
        <f t="shared" si="35"/>
        <v>-10</v>
      </c>
      <c r="AO48" s="396">
        <f t="shared" si="36"/>
        <v>-9</v>
      </c>
      <c r="AP48" s="396">
        <f t="shared" si="37"/>
        <v>-8</v>
      </c>
      <c r="AQ48" s="396">
        <f t="shared" si="38"/>
        <v>-7</v>
      </c>
      <c r="AR48" s="396">
        <f t="shared" si="39"/>
        <v>-6</v>
      </c>
      <c r="AS48" s="396">
        <f t="shared" si="40"/>
        <v>-5</v>
      </c>
      <c r="AT48" s="396">
        <f t="shared" si="41"/>
        <v>-4</v>
      </c>
      <c r="AU48" s="396">
        <f t="shared" si="42"/>
        <v>-3</v>
      </c>
      <c r="AV48" s="396">
        <f t="shared" si="43"/>
        <v>-2</v>
      </c>
      <c r="AW48" s="396">
        <f t="shared" si="44"/>
        <v>-1</v>
      </c>
      <c r="AX48" s="396">
        <f t="shared" si="45"/>
        <v>0</v>
      </c>
      <c r="AY48" s="396">
        <f t="shared" si="46"/>
        <v>1</v>
      </c>
      <c r="AZ48" s="396">
        <f t="shared" si="47"/>
        <v>2</v>
      </c>
      <c r="BA48" s="396">
        <f t="shared" si="48"/>
        <v>3</v>
      </c>
      <c r="BB48" s="396">
        <f t="shared" si="49"/>
        <v>4</v>
      </c>
      <c r="BC48" s="396">
        <f t="shared" si="50"/>
        <v>5</v>
      </c>
      <c r="BD48" s="396">
        <f t="shared" si="51"/>
        <v>6</v>
      </c>
      <c r="BE48" s="396">
        <f t="shared" si="52"/>
        <v>7</v>
      </c>
      <c r="BF48" s="396">
        <f t="shared" si="53"/>
        <v>8</v>
      </c>
      <c r="BG48" s="396">
        <f t="shared" si="54"/>
        <v>9</v>
      </c>
      <c r="BH48" s="396">
        <f t="shared" si="55"/>
        <v>10</v>
      </c>
      <c r="BI48" s="396">
        <f t="shared" si="56"/>
        <v>11</v>
      </c>
      <c r="BJ48" s="396">
        <f t="shared" si="57"/>
        <v>12</v>
      </c>
      <c r="BK48" s="396">
        <f t="shared" si="58"/>
        <v>13</v>
      </c>
      <c r="BL48" s="396">
        <f t="shared" si="59"/>
        <v>14</v>
      </c>
    </row>
    <row r="49" spans="1:64" ht="15">
      <c r="A49" s="375">
        <v>48</v>
      </c>
      <c r="B49" s="409">
        <f t="shared" si="61"/>
        <v>1</v>
      </c>
      <c r="C49" s="386"/>
      <c r="D49" s="411">
        <f t="shared" si="62"/>
        <v>-32</v>
      </c>
      <c r="E49" s="396">
        <f t="shared" si="0"/>
        <v>-32</v>
      </c>
      <c r="F49" s="396">
        <f t="shared" si="1"/>
        <v>-32</v>
      </c>
      <c r="G49" s="396">
        <f t="shared" si="2"/>
        <v>-32</v>
      </c>
      <c r="H49" s="396">
        <f t="shared" si="3"/>
        <v>-32</v>
      </c>
      <c r="I49" s="396">
        <f t="shared" si="4"/>
        <v>-32</v>
      </c>
      <c r="J49" s="396">
        <f t="shared" si="5"/>
        <v>-32</v>
      </c>
      <c r="K49" s="396">
        <f t="shared" si="6"/>
        <v>-32</v>
      </c>
      <c r="L49" s="396">
        <f t="shared" si="7"/>
        <v>-32</v>
      </c>
      <c r="M49" s="396">
        <f t="shared" si="8"/>
        <v>-32</v>
      </c>
      <c r="N49" s="396">
        <f t="shared" si="9"/>
        <v>-32</v>
      </c>
      <c r="O49" s="396">
        <f t="shared" si="10"/>
        <v>-32</v>
      </c>
      <c r="P49" s="396">
        <f t="shared" si="11"/>
        <v>-32</v>
      </c>
      <c r="Q49" s="396">
        <f t="shared" si="12"/>
        <v>-32</v>
      </c>
      <c r="R49" s="396">
        <f t="shared" si="13"/>
        <v>-32</v>
      </c>
      <c r="S49" s="396">
        <f t="shared" si="14"/>
        <v>-32</v>
      </c>
      <c r="T49" s="396">
        <f t="shared" si="15"/>
        <v>-31</v>
      </c>
      <c r="U49" s="396">
        <f t="shared" si="16"/>
        <v>-30</v>
      </c>
      <c r="V49" s="396">
        <f t="shared" si="17"/>
        <v>-29</v>
      </c>
      <c r="W49" s="396">
        <f t="shared" si="18"/>
        <v>-28</v>
      </c>
      <c r="X49" s="396">
        <f t="shared" si="19"/>
        <v>-27</v>
      </c>
      <c r="Y49" s="396">
        <f t="shared" si="20"/>
        <v>-26</v>
      </c>
      <c r="Z49" s="396">
        <f t="shared" si="21"/>
        <v>-25</v>
      </c>
      <c r="AA49" s="396">
        <f t="shared" si="22"/>
        <v>-24</v>
      </c>
      <c r="AB49" s="396">
        <f t="shared" si="23"/>
        <v>-23</v>
      </c>
      <c r="AC49" s="396">
        <f t="shared" si="24"/>
        <v>-22</v>
      </c>
      <c r="AD49" s="396">
        <f t="shared" si="25"/>
        <v>-21</v>
      </c>
      <c r="AE49" s="396">
        <f t="shared" si="26"/>
        <v>-20</v>
      </c>
      <c r="AF49" s="396">
        <f t="shared" si="27"/>
        <v>-19</v>
      </c>
      <c r="AG49" s="396">
        <f t="shared" si="28"/>
        <v>-18</v>
      </c>
      <c r="AH49" s="396">
        <f t="shared" si="29"/>
        <v>-17</v>
      </c>
      <c r="AI49" s="396">
        <f t="shared" si="30"/>
        <v>-16</v>
      </c>
      <c r="AJ49" s="396">
        <f t="shared" si="31"/>
        <v>-15</v>
      </c>
      <c r="AK49" s="396">
        <f t="shared" si="32"/>
        <v>-14</v>
      </c>
      <c r="AL49" s="396">
        <f t="shared" si="33"/>
        <v>-13</v>
      </c>
      <c r="AM49" s="396">
        <f t="shared" si="34"/>
        <v>-12</v>
      </c>
      <c r="AN49" s="396">
        <f t="shared" si="35"/>
        <v>-11</v>
      </c>
      <c r="AO49" s="396">
        <f t="shared" si="36"/>
        <v>-10</v>
      </c>
      <c r="AP49" s="396">
        <f t="shared" si="37"/>
        <v>-9</v>
      </c>
      <c r="AQ49" s="396">
        <f t="shared" si="38"/>
        <v>-8</v>
      </c>
      <c r="AR49" s="396">
        <f t="shared" si="39"/>
        <v>-7</v>
      </c>
      <c r="AS49" s="396">
        <f t="shared" si="40"/>
        <v>-6</v>
      </c>
      <c r="AT49" s="396">
        <f t="shared" si="41"/>
        <v>-5</v>
      </c>
      <c r="AU49" s="396">
        <f t="shared" si="42"/>
        <v>-4</v>
      </c>
      <c r="AV49" s="396">
        <f t="shared" si="43"/>
        <v>-3</v>
      </c>
      <c r="AW49" s="396">
        <f t="shared" si="44"/>
        <v>-2</v>
      </c>
      <c r="AX49" s="396">
        <f t="shared" si="45"/>
        <v>-1</v>
      </c>
      <c r="AY49" s="396">
        <f t="shared" si="46"/>
        <v>0</v>
      </c>
      <c r="AZ49" s="396">
        <f t="shared" si="47"/>
        <v>1</v>
      </c>
      <c r="BA49" s="396">
        <f t="shared" si="48"/>
        <v>2</v>
      </c>
      <c r="BB49" s="396">
        <f t="shared" si="49"/>
        <v>3</v>
      </c>
      <c r="BC49" s="396">
        <f t="shared" si="50"/>
        <v>4</v>
      </c>
      <c r="BD49" s="396">
        <f t="shared" si="51"/>
        <v>5</v>
      </c>
      <c r="BE49" s="396">
        <f t="shared" si="52"/>
        <v>6</v>
      </c>
      <c r="BF49" s="396">
        <f t="shared" si="53"/>
        <v>7</v>
      </c>
      <c r="BG49" s="396">
        <f t="shared" si="54"/>
        <v>8</v>
      </c>
      <c r="BH49" s="396">
        <f t="shared" si="55"/>
        <v>9</v>
      </c>
      <c r="BI49" s="396">
        <f t="shared" si="56"/>
        <v>10</v>
      </c>
      <c r="BJ49" s="396">
        <f t="shared" si="57"/>
        <v>11</v>
      </c>
      <c r="BK49" s="396">
        <f t="shared" si="58"/>
        <v>12</v>
      </c>
      <c r="BL49" s="396">
        <f t="shared" si="59"/>
        <v>13</v>
      </c>
    </row>
    <row r="50" spans="1:64" ht="15">
      <c r="A50" s="375">
        <v>49</v>
      </c>
      <c r="B50" s="409">
        <f t="shared" si="61"/>
        <v>1</v>
      </c>
      <c r="C50" s="386"/>
      <c r="D50" s="411">
        <f t="shared" si="62"/>
        <v>-33</v>
      </c>
      <c r="E50" s="396">
        <f t="shared" si="0"/>
        <v>-33</v>
      </c>
      <c r="F50" s="396">
        <f t="shared" si="1"/>
        <v>-33</v>
      </c>
      <c r="G50" s="396">
        <f t="shared" si="2"/>
        <v>-33</v>
      </c>
      <c r="H50" s="396">
        <f t="shared" si="3"/>
        <v>-33</v>
      </c>
      <c r="I50" s="396">
        <f t="shared" si="4"/>
        <v>-33</v>
      </c>
      <c r="J50" s="396">
        <f t="shared" si="5"/>
        <v>-33</v>
      </c>
      <c r="K50" s="396">
        <f t="shared" si="6"/>
        <v>-33</v>
      </c>
      <c r="L50" s="396">
        <f t="shared" si="7"/>
        <v>-33</v>
      </c>
      <c r="M50" s="396">
        <f t="shared" si="8"/>
        <v>-33</v>
      </c>
      <c r="N50" s="396">
        <f t="shared" si="9"/>
        <v>-33</v>
      </c>
      <c r="O50" s="396">
        <f t="shared" si="10"/>
        <v>-33</v>
      </c>
      <c r="P50" s="396">
        <f t="shared" si="11"/>
        <v>-33</v>
      </c>
      <c r="Q50" s="396">
        <f t="shared" si="12"/>
        <v>-33</v>
      </c>
      <c r="R50" s="396">
        <f t="shared" si="13"/>
        <v>-33</v>
      </c>
      <c r="S50" s="396">
        <f t="shared" si="14"/>
        <v>-33</v>
      </c>
      <c r="T50" s="396">
        <f t="shared" si="15"/>
        <v>-32</v>
      </c>
      <c r="U50" s="396">
        <f t="shared" si="16"/>
        <v>-31</v>
      </c>
      <c r="V50" s="396">
        <f t="shared" si="17"/>
        <v>-30</v>
      </c>
      <c r="W50" s="396">
        <f t="shared" si="18"/>
        <v>-29</v>
      </c>
      <c r="X50" s="396">
        <f t="shared" si="19"/>
        <v>-28</v>
      </c>
      <c r="Y50" s="396">
        <f t="shared" si="20"/>
        <v>-27</v>
      </c>
      <c r="Z50" s="396">
        <f t="shared" si="21"/>
        <v>-26</v>
      </c>
      <c r="AA50" s="396">
        <f t="shared" si="22"/>
        <v>-25</v>
      </c>
      <c r="AB50" s="396">
        <f t="shared" si="23"/>
        <v>-24</v>
      </c>
      <c r="AC50" s="396">
        <f t="shared" si="24"/>
        <v>-23</v>
      </c>
      <c r="AD50" s="396">
        <f t="shared" si="25"/>
        <v>-22</v>
      </c>
      <c r="AE50" s="396">
        <f t="shared" si="26"/>
        <v>-21</v>
      </c>
      <c r="AF50" s="396">
        <f t="shared" si="27"/>
        <v>-20</v>
      </c>
      <c r="AG50" s="396">
        <f t="shared" si="28"/>
        <v>-19</v>
      </c>
      <c r="AH50" s="396">
        <f t="shared" si="29"/>
        <v>-18</v>
      </c>
      <c r="AI50" s="396">
        <f t="shared" si="30"/>
        <v>-17</v>
      </c>
      <c r="AJ50" s="396">
        <f t="shared" si="31"/>
        <v>-16</v>
      </c>
      <c r="AK50" s="396">
        <f t="shared" si="32"/>
        <v>-15</v>
      </c>
      <c r="AL50" s="396">
        <f t="shared" si="33"/>
        <v>-14</v>
      </c>
      <c r="AM50" s="396">
        <f t="shared" si="34"/>
        <v>-13</v>
      </c>
      <c r="AN50" s="396">
        <f t="shared" si="35"/>
        <v>-12</v>
      </c>
      <c r="AO50" s="396">
        <f t="shared" si="36"/>
        <v>-11</v>
      </c>
      <c r="AP50" s="396">
        <f t="shared" si="37"/>
        <v>-10</v>
      </c>
      <c r="AQ50" s="396">
        <f t="shared" si="38"/>
        <v>-9</v>
      </c>
      <c r="AR50" s="396">
        <f t="shared" si="39"/>
        <v>-8</v>
      </c>
      <c r="AS50" s="396">
        <f t="shared" si="40"/>
        <v>-7</v>
      </c>
      <c r="AT50" s="396">
        <f t="shared" si="41"/>
        <v>-6</v>
      </c>
      <c r="AU50" s="396">
        <f t="shared" si="42"/>
        <v>-5</v>
      </c>
      <c r="AV50" s="396">
        <f t="shared" si="43"/>
        <v>-4</v>
      </c>
      <c r="AW50" s="396">
        <f t="shared" si="44"/>
        <v>-3</v>
      </c>
      <c r="AX50" s="396">
        <f t="shared" si="45"/>
        <v>-2</v>
      </c>
      <c r="AY50" s="396">
        <f t="shared" si="46"/>
        <v>-1</v>
      </c>
      <c r="AZ50" s="396">
        <f t="shared" si="47"/>
        <v>0</v>
      </c>
      <c r="BA50" s="396">
        <f t="shared" si="48"/>
        <v>1</v>
      </c>
      <c r="BB50" s="396">
        <f t="shared" si="49"/>
        <v>2</v>
      </c>
      <c r="BC50" s="396">
        <f t="shared" si="50"/>
        <v>3</v>
      </c>
      <c r="BD50" s="396">
        <f t="shared" si="51"/>
        <v>4</v>
      </c>
      <c r="BE50" s="396">
        <f t="shared" si="52"/>
        <v>5</v>
      </c>
      <c r="BF50" s="396">
        <f t="shared" si="53"/>
        <v>6</v>
      </c>
      <c r="BG50" s="396">
        <f t="shared" si="54"/>
        <v>7</v>
      </c>
      <c r="BH50" s="396">
        <f t="shared" si="55"/>
        <v>8</v>
      </c>
      <c r="BI50" s="396">
        <f t="shared" si="56"/>
        <v>9</v>
      </c>
      <c r="BJ50" s="396">
        <f t="shared" si="57"/>
        <v>10</v>
      </c>
      <c r="BK50" s="396">
        <f t="shared" si="58"/>
        <v>11</v>
      </c>
      <c r="BL50" s="396">
        <f t="shared" si="59"/>
        <v>12</v>
      </c>
    </row>
    <row r="51" spans="1:64" ht="15">
      <c r="A51" s="375">
        <v>50</v>
      </c>
      <c r="B51" s="409">
        <f t="shared" si="61"/>
        <v>1</v>
      </c>
      <c r="C51" s="386"/>
      <c r="D51" s="411">
        <f t="shared" si="62"/>
        <v>-34</v>
      </c>
      <c r="E51" s="396">
        <f t="shared" si="0"/>
        <v>-34</v>
      </c>
      <c r="F51" s="396">
        <f t="shared" si="1"/>
        <v>-34</v>
      </c>
      <c r="G51" s="396">
        <f t="shared" si="2"/>
        <v>-34</v>
      </c>
      <c r="H51" s="396">
        <f t="shared" si="3"/>
        <v>-34</v>
      </c>
      <c r="I51" s="396">
        <f t="shared" si="4"/>
        <v>-34</v>
      </c>
      <c r="J51" s="396">
        <f t="shared" si="5"/>
        <v>-34</v>
      </c>
      <c r="K51" s="396">
        <f t="shared" si="6"/>
        <v>-34</v>
      </c>
      <c r="L51" s="396">
        <f t="shared" si="7"/>
        <v>-34</v>
      </c>
      <c r="M51" s="396">
        <f t="shared" si="8"/>
        <v>-34</v>
      </c>
      <c r="N51" s="396">
        <f t="shared" si="9"/>
        <v>-34</v>
      </c>
      <c r="O51" s="396">
        <f t="shared" si="10"/>
        <v>-34</v>
      </c>
      <c r="P51" s="396">
        <f t="shared" si="11"/>
        <v>-34</v>
      </c>
      <c r="Q51" s="396">
        <f t="shared" si="12"/>
        <v>-34</v>
      </c>
      <c r="R51" s="396">
        <f t="shared" si="13"/>
        <v>-34</v>
      </c>
      <c r="S51" s="396">
        <f t="shared" si="14"/>
        <v>-34</v>
      </c>
      <c r="T51" s="396">
        <f t="shared" si="15"/>
        <v>-33</v>
      </c>
      <c r="U51" s="396">
        <f t="shared" si="16"/>
        <v>-32</v>
      </c>
      <c r="V51" s="396">
        <f t="shared" si="17"/>
        <v>-31</v>
      </c>
      <c r="W51" s="396">
        <f t="shared" si="18"/>
        <v>-30</v>
      </c>
      <c r="X51" s="396">
        <f t="shared" si="19"/>
        <v>-29</v>
      </c>
      <c r="Y51" s="396">
        <f t="shared" si="20"/>
        <v>-28</v>
      </c>
      <c r="Z51" s="396">
        <f t="shared" si="21"/>
        <v>-27</v>
      </c>
      <c r="AA51" s="396">
        <f t="shared" si="22"/>
        <v>-26</v>
      </c>
      <c r="AB51" s="396">
        <f t="shared" si="23"/>
        <v>-25</v>
      </c>
      <c r="AC51" s="396">
        <f t="shared" si="24"/>
        <v>-24</v>
      </c>
      <c r="AD51" s="396">
        <f t="shared" si="25"/>
        <v>-23</v>
      </c>
      <c r="AE51" s="396">
        <f t="shared" si="26"/>
        <v>-22</v>
      </c>
      <c r="AF51" s="396">
        <f t="shared" si="27"/>
        <v>-21</v>
      </c>
      <c r="AG51" s="396">
        <f t="shared" si="28"/>
        <v>-20</v>
      </c>
      <c r="AH51" s="396">
        <f t="shared" si="29"/>
        <v>-19</v>
      </c>
      <c r="AI51" s="396">
        <f t="shared" si="30"/>
        <v>-18</v>
      </c>
      <c r="AJ51" s="396">
        <f t="shared" si="31"/>
        <v>-17</v>
      </c>
      <c r="AK51" s="396">
        <f t="shared" si="32"/>
        <v>-16</v>
      </c>
      <c r="AL51" s="396">
        <f t="shared" si="33"/>
        <v>-15</v>
      </c>
      <c r="AM51" s="396">
        <f t="shared" si="34"/>
        <v>-14</v>
      </c>
      <c r="AN51" s="396">
        <f t="shared" si="35"/>
        <v>-13</v>
      </c>
      <c r="AO51" s="396">
        <f t="shared" si="36"/>
        <v>-12</v>
      </c>
      <c r="AP51" s="396">
        <f t="shared" si="37"/>
        <v>-11</v>
      </c>
      <c r="AQ51" s="396">
        <f t="shared" si="38"/>
        <v>-10</v>
      </c>
      <c r="AR51" s="396">
        <f t="shared" si="39"/>
        <v>-9</v>
      </c>
      <c r="AS51" s="396">
        <f t="shared" si="40"/>
        <v>-8</v>
      </c>
      <c r="AT51" s="396">
        <f t="shared" si="41"/>
        <v>-7</v>
      </c>
      <c r="AU51" s="396">
        <f t="shared" si="42"/>
        <v>-6</v>
      </c>
      <c r="AV51" s="396">
        <f t="shared" si="43"/>
        <v>-5</v>
      </c>
      <c r="AW51" s="396">
        <f t="shared" si="44"/>
        <v>-4</v>
      </c>
      <c r="AX51" s="396">
        <f t="shared" si="45"/>
        <v>-3</v>
      </c>
      <c r="AY51" s="396">
        <f t="shared" si="46"/>
        <v>-2</v>
      </c>
      <c r="AZ51" s="396">
        <f t="shared" si="47"/>
        <v>-1</v>
      </c>
      <c r="BA51" s="396">
        <f t="shared" si="48"/>
        <v>0</v>
      </c>
      <c r="BB51" s="396">
        <f t="shared" si="49"/>
        <v>1</v>
      </c>
      <c r="BC51" s="396">
        <f t="shared" si="50"/>
        <v>2</v>
      </c>
      <c r="BD51" s="396">
        <f t="shared" si="51"/>
        <v>3</v>
      </c>
      <c r="BE51" s="396">
        <f t="shared" si="52"/>
        <v>4</v>
      </c>
      <c r="BF51" s="396">
        <f t="shared" si="53"/>
        <v>5</v>
      </c>
      <c r="BG51" s="396">
        <f t="shared" si="54"/>
        <v>6</v>
      </c>
      <c r="BH51" s="396">
        <f t="shared" si="55"/>
        <v>7</v>
      </c>
      <c r="BI51" s="396">
        <f t="shared" si="56"/>
        <v>8</v>
      </c>
      <c r="BJ51" s="396">
        <f t="shared" si="57"/>
        <v>9</v>
      </c>
      <c r="BK51" s="396">
        <f t="shared" si="58"/>
        <v>10</v>
      </c>
      <c r="BL51" s="396">
        <f t="shared" si="59"/>
        <v>11</v>
      </c>
    </row>
    <row r="52" spans="1:64" ht="15">
      <c r="A52" s="375">
        <v>51</v>
      </c>
      <c r="B52" s="409">
        <f t="shared" si="61"/>
        <v>1</v>
      </c>
      <c r="C52" s="386"/>
      <c r="D52" s="411">
        <f t="shared" si="62"/>
        <v>-35</v>
      </c>
      <c r="E52" s="396">
        <f t="shared" si="0"/>
        <v>-35</v>
      </c>
      <c r="F52" s="396">
        <f t="shared" si="1"/>
        <v>-35</v>
      </c>
      <c r="G52" s="396">
        <f t="shared" si="2"/>
        <v>-35</v>
      </c>
      <c r="H52" s="396">
        <f t="shared" si="3"/>
        <v>-35</v>
      </c>
      <c r="I52" s="396">
        <f t="shared" si="4"/>
        <v>-35</v>
      </c>
      <c r="J52" s="396">
        <f t="shared" si="5"/>
        <v>-35</v>
      </c>
      <c r="K52" s="396">
        <f t="shared" si="6"/>
        <v>-35</v>
      </c>
      <c r="L52" s="396">
        <f t="shared" si="7"/>
        <v>-35</v>
      </c>
      <c r="M52" s="396">
        <f t="shared" si="8"/>
        <v>-35</v>
      </c>
      <c r="N52" s="396">
        <f t="shared" si="9"/>
        <v>-35</v>
      </c>
      <c r="O52" s="396">
        <f t="shared" si="10"/>
        <v>-35</v>
      </c>
      <c r="P52" s="396">
        <f t="shared" si="11"/>
        <v>-35</v>
      </c>
      <c r="Q52" s="396">
        <f t="shared" si="12"/>
        <v>-35</v>
      </c>
      <c r="R52" s="396">
        <f t="shared" si="13"/>
        <v>-35</v>
      </c>
      <c r="S52" s="396">
        <f t="shared" si="14"/>
        <v>-35</v>
      </c>
      <c r="T52" s="396">
        <f t="shared" si="15"/>
        <v>-34</v>
      </c>
      <c r="U52" s="396">
        <f t="shared" si="16"/>
        <v>-33</v>
      </c>
      <c r="V52" s="396">
        <f t="shared" si="17"/>
        <v>-32</v>
      </c>
      <c r="W52" s="396">
        <f t="shared" si="18"/>
        <v>-31</v>
      </c>
      <c r="X52" s="396">
        <f t="shared" si="19"/>
        <v>-30</v>
      </c>
      <c r="Y52" s="396">
        <f t="shared" si="20"/>
        <v>-29</v>
      </c>
      <c r="Z52" s="396">
        <f t="shared" si="21"/>
        <v>-28</v>
      </c>
      <c r="AA52" s="396">
        <f t="shared" si="22"/>
        <v>-27</v>
      </c>
      <c r="AB52" s="396">
        <f t="shared" si="23"/>
        <v>-26</v>
      </c>
      <c r="AC52" s="396">
        <f t="shared" si="24"/>
        <v>-25</v>
      </c>
      <c r="AD52" s="396">
        <f t="shared" si="25"/>
        <v>-24</v>
      </c>
      <c r="AE52" s="396">
        <f t="shared" si="26"/>
        <v>-23</v>
      </c>
      <c r="AF52" s="396">
        <f t="shared" si="27"/>
        <v>-22</v>
      </c>
      <c r="AG52" s="396">
        <f t="shared" si="28"/>
        <v>-21</v>
      </c>
      <c r="AH52" s="396">
        <f t="shared" si="29"/>
        <v>-20</v>
      </c>
      <c r="AI52" s="396">
        <f t="shared" si="30"/>
        <v>-19</v>
      </c>
      <c r="AJ52" s="396">
        <f t="shared" si="31"/>
        <v>-18</v>
      </c>
      <c r="AK52" s="396">
        <f t="shared" si="32"/>
        <v>-17</v>
      </c>
      <c r="AL52" s="396">
        <f t="shared" si="33"/>
        <v>-16</v>
      </c>
      <c r="AM52" s="396">
        <f t="shared" si="34"/>
        <v>-15</v>
      </c>
      <c r="AN52" s="396">
        <f t="shared" si="35"/>
        <v>-14</v>
      </c>
      <c r="AO52" s="396">
        <f t="shared" si="36"/>
        <v>-13</v>
      </c>
      <c r="AP52" s="396">
        <f t="shared" si="37"/>
        <v>-12</v>
      </c>
      <c r="AQ52" s="396">
        <f t="shared" si="38"/>
        <v>-11</v>
      </c>
      <c r="AR52" s="396">
        <f t="shared" si="39"/>
        <v>-10</v>
      </c>
      <c r="AS52" s="396">
        <f t="shared" si="40"/>
        <v>-9</v>
      </c>
      <c r="AT52" s="396">
        <f t="shared" si="41"/>
        <v>-8</v>
      </c>
      <c r="AU52" s="396">
        <f t="shared" si="42"/>
        <v>-7</v>
      </c>
      <c r="AV52" s="396">
        <f t="shared" si="43"/>
        <v>-6</v>
      </c>
      <c r="AW52" s="396">
        <f t="shared" si="44"/>
        <v>-5</v>
      </c>
      <c r="AX52" s="396">
        <f t="shared" si="45"/>
        <v>-4</v>
      </c>
      <c r="AY52" s="396">
        <f t="shared" si="46"/>
        <v>-3</v>
      </c>
      <c r="AZ52" s="396">
        <f t="shared" si="47"/>
        <v>-2</v>
      </c>
      <c r="BA52" s="396">
        <f t="shared" si="48"/>
        <v>-1</v>
      </c>
      <c r="BB52" s="396">
        <f t="shared" si="49"/>
        <v>0</v>
      </c>
      <c r="BC52" s="396">
        <f t="shared" si="50"/>
        <v>1</v>
      </c>
      <c r="BD52" s="396">
        <f t="shared" si="51"/>
        <v>2</v>
      </c>
      <c r="BE52" s="396">
        <f t="shared" si="52"/>
        <v>3</v>
      </c>
      <c r="BF52" s="396">
        <f t="shared" si="53"/>
        <v>4</v>
      </c>
      <c r="BG52" s="396">
        <f t="shared" si="54"/>
        <v>5</v>
      </c>
      <c r="BH52" s="396">
        <f t="shared" si="55"/>
        <v>6</v>
      </c>
      <c r="BI52" s="396">
        <f t="shared" si="56"/>
        <v>7</v>
      </c>
      <c r="BJ52" s="396">
        <f t="shared" si="57"/>
        <v>8</v>
      </c>
      <c r="BK52" s="396">
        <f t="shared" si="58"/>
        <v>9</v>
      </c>
      <c r="BL52" s="396">
        <f t="shared" si="59"/>
        <v>10</v>
      </c>
    </row>
    <row r="53" spans="1:64" ht="15">
      <c r="A53" s="375">
        <v>52</v>
      </c>
      <c r="B53" s="409">
        <f t="shared" si="61"/>
        <v>1</v>
      </c>
      <c r="C53" s="386"/>
      <c r="D53" s="411">
        <f t="shared" si="62"/>
        <v>-36</v>
      </c>
      <c r="E53" s="396">
        <f t="shared" si="0"/>
        <v>-36</v>
      </c>
      <c r="F53" s="396">
        <f t="shared" si="1"/>
        <v>-36</v>
      </c>
      <c r="G53" s="396">
        <f t="shared" si="2"/>
        <v>-36</v>
      </c>
      <c r="H53" s="396">
        <f t="shared" si="3"/>
        <v>-36</v>
      </c>
      <c r="I53" s="396">
        <f t="shared" si="4"/>
        <v>-36</v>
      </c>
      <c r="J53" s="396">
        <f t="shared" si="5"/>
        <v>-36</v>
      </c>
      <c r="K53" s="396">
        <f t="shared" si="6"/>
        <v>-36</v>
      </c>
      <c r="L53" s="396">
        <f t="shared" si="7"/>
        <v>-36</v>
      </c>
      <c r="M53" s="396">
        <f t="shared" si="8"/>
        <v>-36</v>
      </c>
      <c r="N53" s="396">
        <f t="shared" si="9"/>
        <v>-36</v>
      </c>
      <c r="O53" s="396">
        <f t="shared" si="10"/>
        <v>-36</v>
      </c>
      <c r="P53" s="396">
        <f t="shared" si="11"/>
        <v>-36</v>
      </c>
      <c r="Q53" s="396">
        <f t="shared" si="12"/>
        <v>-36</v>
      </c>
      <c r="R53" s="396">
        <f t="shared" si="13"/>
        <v>-36</v>
      </c>
      <c r="S53" s="396">
        <f t="shared" si="14"/>
        <v>-36</v>
      </c>
      <c r="T53" s="396">
        <f t="shared" si="15"/>
        <v>-35</v>
      </c>
      <c r="U53" s="396">
        <f t="shared" si="16"/>
        <v>-34</v>
      </c>
      <c r="V53" s="396">
        <f t="shared" si="17"/>
        <v>-33</v>
      </c>
      <c r="W53" s="396">
        <f t="shared" si="18"/>
        <v>-32</v>
      </c>
      <c r="X53" s="396">
        <f t="shared" si="19"/>
        <v>-31</v>
      </c>
      <c r="Y53" s="396">
        <f t="shared" si="20"/>
        <v>-30</v>
      </c>
      <c r="Z53" s="396">
        <f t="shared" si="21"/>
        <v>-29</v>
      </c>
      <c r="AA53" s="396">
        <f t="shared" si="22"/>
        <v>-28</v>
      </c>
      <c r="AB53" s="396">
        <f t="shared" si="23"/>
        <v>-27</v>
      </c>
      <c r="AC53" s="396">
        <f t="shared" si="24"/>
        <v>-26</v>
      </c>
      <c r="AD53" s="396">
        <f t="shared" si="25"/>
        <v>-25</v>
      </c>
      <c r="AE53" s="396">
        <f t="shared" si="26"/>
        <v>-24</v>
      </c>
      <c r="AF53" s="396">
        <f t="shared" si="27"/>
        <v>-23</v>
      </c>
      <c r="AG53" s="396">
        <f t="shared" si="28"/>
        <v>-22</v>
      </c>
      <c r="AH53" s="396">
        <f t="shared" si="29"/>
        <v>-21</v>
      </c>
      <c r="AI53" s="396">
        <f t="shared" si="30"/>
        <v>-20</v>
      </c>
      <c r="AJ53" s="396">
        <f t="shared" si="31"/>
        <v>-19</v>
      </c>
      <c r="AK53" s="396">
        <f t="shared" si="32"/>
        <v>-18</v>
      </c>
      <c r="AL53" s="396">
        <f t="shared" si="33"/>
        <v>-17</v>
      </c>
      <c r="AM53" s="396">
        <f t="shared" si="34"/>
        <v>-16</v>
      </c>
      <c r="AN53" s="396">
        <f t="shared" si="35"/>
        <v>-15</v>
      </c>
      <c r="AO53" s="396">
        <f t="shared" si="36"/>
        <v>-14</v>
      </c>
      <c r="AP53" s="396">
        <f t="shared" si="37"/>
        <v>-13</v>
      </c>
      <c r="AQ53" s="396">
        <f t="shared" si="38"/>
        <v>-12</v>
      </c>
      <c r="AR53" s="396">
        <f t="shared" si="39"/>
        <v>-11</v>
      </c>
      <c r="AS53" s="396">
        <f t="shared" si="40"/>
        <v>-10</v>
      </c>
      <c r="AT53" s="396">
        <f t="shared" si="41"/>
        <v>-9</v>
      </c>
      <c r="AU53" s="396">
        <f t="shared" si="42"/>
        <v>-8</v>
      </c>
      <c r="AV53" s="396">
        <f t="shared" si="43"/>
        <v>-7</v>
      </c>
      <c r="AW53" s="396">
        <f t="shared" si="44"/>
        <v>-6</v>
      </c>
      <c r="AX53" s="396">
        <f t="shared" si="45"/>
        <v>-5</v>
      </c>
      <c r="AY53" s="396">
        <f t="shared" si="46"/>
        <v>-4</v>
      </c>
      <c r="AZ53" s="396">
        <f t="shared" si="47"/>
        <v>-3</v>
      </c>
      <c r="BA53" s="396">
        <f t="shared" si="48"/>
        <v>-2</v>
      </c>
      <c r="BB53" s="396">
        <f t="shared" si="49"/>
        <v>-1</v>
      </c>
      <c r="BC53" s="396">
        <f t="shared" si="50"/>
        <v>0</v>
      </c>
      <c r="BD53" s="396">
        <f t="shared" si="51"/>
        <v>1</v>
      </c>
      <c r="BE53" s="396">
        <f t="shared" si="52"/>
        <v>2</v>
      </c>
      <c r="BF53" s="396">
        <f t="shared" si="53"/>
        <v>3</v>
      </c>
      <c r="BG53" s="396">
        <f t="shared" si="54"/>
        <v>4</v>
      </c>
      <c r="BH53" s="396">
        <f t="shared" si="55"/>
        <v>5</v>
      </c>
      <c r="BI53" s="396">
        <f t="shared" si="56"/>
        <v>6</v>
      </c>
      <c r="BJ53" s="396">
        <f t="shared" si="57"/>
        <v>7</v>
      </c>
      <c r="BK53" s="396">
        <f t="shared" si="58"/>
        <v>8</v>
      </c>
      <c r="BL53" s="396">
        <f t="shared" si="59"/>
        <v>9</v>
      </c>
    </row>
    <row r="54" spans="1:64" ht="15">
      <c r="A54" s="375">
        <v>53</v>
      </c>
      <c r="B54" s="409">
        <f t="shared" si="61"/>
        <v>1</v>
      </c>
      <c r="C54" s="386"/>
      <c r="D54" s="411">
        <f t="shared" si="62"/>
        <v>-37</v>
      </c>
      <c r="E54" s="396">
        <f t="shared" si="0"/>
        <v>-37</v>
      </c>
      <c r="F54" s="396">
        <f t="shared" si="1"/>
        <v>-37</v>
      </c>
      <c r="G54" s="396">
        <f t="shared" si="2"/>
        <v>-37</v>
      </c>
      <c r="H54" s="396">
        <f t="shared" si="3"/>
        <v>-37</v>
      </c>
      <c r="I54" s="396">
        <f t="shared" si="4"/>
        <v>-37</v>
      </c>
      <c r="J54" s="396">
        <f t="shared" si="5"/>
        <v>-37</v>
      </c>
      <c r="K54" s="396">
        <f t="shared" si="6"/>
        <v>-37</v>
      </c>
      <c r="L54" s="396">
        <f t="shared" si="7"/>
        <v>-37</v>
      </c>
      <c r="M54" s="396">
        <f t="shared" si="8"/>
        <v>-37</v>
      </c>
      <c r="N54" s="396">
        <f t="shared" si="9"/>
        <v>-37</v>
      </c>
      <c r="O54" s="396">
        <f t="shared" si="10"/>
        <v>-37</v>
      </c>
      <c r="P54" s="396">
        <f t="shared" si="11"/>
        <v>-37</v>
      </c>
      <c r="Q54" s="396">
        <f t="shared" si="12"/>
        <v>-37</v>
      </c>
      <c r="R54" s="396">
        <f t="shared" si="13"/>
        <v>-37</v>
      </c>
      <c r="S54" s="396">
        <f t="shared" si="14"/>
        <v>-37</v>
      </c>
      <c r="T54" s="396">
        <f t="shared" si="15"/>
        <v>-36</v>
      </c>
      <c r="U54" s="396">
        <f t="shared" si="16"/>
        <v>-35</v>
      </c>
      <c r="V54" s="396">
        <f t="shared" si="17"/>
        <v>-34</v>
      </c>
      <c r="W54" s="396">
        <f t="shared" si="18"/>
        <v>-33</v>
      </c>
      <c r="X54" s="396">
        <f t="shared" si="19"/>
        <v>-32</v>
      </c>
      <c r="Y54" s="396">
        <f t="shared" si="20"/>
        <v>-31</v>
      </c>
      <c r="Z54" s="396">
        <f t="shared" si="21"/>
        <v>-30</v>
      </c>
      <c r="AA54" s="396">
        <f t="shared" si="22"/>
        <v>-29</v>
      </c>
      <c r="AB54" s="396">
        <f t="shared" si="23"/>
        <v>-28</v>
      </c>
      <c r="AC54" s="396">
        <f t="shared" si="24"/>
        <v>-27</v>
      </c>
      <c r="AD54" s="396">
        <f t="shared" si="25"/>
        <v>-26</v>
      </c>
      <c r="AE54" s="396">
        <f t="shared" si="26"/>
        <v>-25</v>
      </c>
      <c r="AF54" s="396">
        <f t="shared" si="27"/>
        <v>-24</v>
      </c>
      <c r="AG54" s="396">
        <f t="shared" si="28"/>
        <v>-23</v>
      </c>
      <c r="AH54" s="396">
        <f t="shared" si="29"/>
        <v>-22</v>
      </c>
      <c r="AI54" s="396">
        <f t="shared" si="30"/>
        <v>-21</v>
      </c>
      <c r="AJ54" s="396">
        <f t="shared" si="31"/>
        <v>-20</v>
      </c>
      <c r="AK54" s="396">
        <f t="shared" si="32"/>
        <v>-19</v>
      </c>
      <c r="AL54" s="396">
        <f t="shared" si="33"/>
        <v>-18</v>
      </c>
      <c r="AM54" s="396">
        <f t="shared" si="34"/>
        <v>-17</v>
      </c>
      <c r="AN54" s="396">
        <f t="shared" si="35"/>
        <v>-16</v>
      </c>
      <c r="AO54" s="396">
        <f t="shared" si="36"/>
        <v>-15</v>
      </c>
      <c r="AP54" s="396">
        <f t="shared" si="37"/>
        <v>-14</v>
      </c>
      <c r="AQ54" s="396">
        <f t="shared" si="38"/>
        <v>-13</v>
      </c>
      <c r="AR54" s="396">
        <f t="shared" si="39"/>
        <v>-12</v>
      </c>
      <c r="AS54" s="396">
        <f t="shared" si="40"/>
        <v>-11</v>
      </c>
      <c r="AT54" s="396">
        <f t="shared" si="41"/>
        <v>-10</v>
      </c>
      <c r="AU54" s="396">
        <f t="shared" si="42"/>
        <v>-9</v>
      </c>
      <c r="AV54" s="396">
        <f t="shared" si="43"/>
        <v>-8</v>
      </c>
      <c r="AW54" s="396">
        <f t="shared" si="44"/>
        <v>-7</v>
      </c>
      <c r="AX54" s="396">
        <f t="shared" si="45"/>
        <v>-6</v>
      </c>
      <c r="AY54" s="396">
        <f t="shared" si="46"/>
        <v>-5</v>
      </c>
      <c r="AZ54" s="396">
        <f t="shared" si="47"/>
        <v>-4</v>
      </c>
      <c r="BA54" s="396">
        <f t="shared" si="48"/>
        <v>-3</v>
      </c>
      <c r="BB54" s="396">
        <f t="shared" si="49"/>
        <v>-2</v>
      </c>
      <c r="BC54" s="396">
        <f t="shared" si="50"/>
        <v>-1</v>
      </c>
      <c r="BD54" s="396">
        <f t="shared" si="51"/>
        <v>0</v>
      </c>
      <c r="BE54" s="396">
        <f t="shared" si="52"/>
        <v>1</v>
      </c>
      <c r="BF54" s="396">
        <f t="shared" si="53"/>
        <v>2</v>
      </c>
      <c r="BG54" s="396">
        <f t="shared" si="54"/>
        <v>3</v>
      </c>
      <c r="BH54" s="396">
        <f t="shared" si="55"/>
        <v>4</v>
      </c>
      <c r="BI54" s="396">
        <f t="shared" si="56"/>
        <v>5</v>
      </c>
      <c r="BJ54" s="396">
        <f t="shared" si="57"/>
        <v>6</v>
      </c>
      <c r="BK54" s="396">
        <f t="shared" si="58"/>
        <v>7</v>
      </c>
      <c r="BL54" s="396">
        <f t="shared" si="59"/>
        <v>8</v>
      </c>
    </row>
    <row r="55" spans="1:64" ht="15">
      <c r="A55" s="375">
        <v>54</v>
      </c>
      <c r="B55" s="409">
        <f t="shared" si="61"/>
        <v>1</v>
      </c>
      <c r="C55" s="386"/>
      <c r="D55" s="411">
        <f t="shared" si="62"/>
        <v>-38</v>
      </c>
      <c r="E55" s="396">
        <f t="shared" si="0"/>
        <v>-38</v>
      </c>
      <c r="F55" s="396">
        <f t="shared" si="1"/>
        <v>-38</v>
      </c>
      <c r="G55" s="396">
        <f t="shared" si="2"/>
        <v>-38</v>
      </c>
      <c r="H55" s="396">
        <f t="shared" si="3"/>
        <v>-38</v>
      </c>
      <c r="I55" s="396">
        <f t="shared" si="4"/>
        <v>-38</v>
      </c>
      <c r="J55" s="396">
        <f t="shared" si="5"/>
        <v>-38</v>
      </c>
      <c r="K55" s="396">
        <f t="shared" si="6"/>
        <v>-38</v>
      </c>
      <c r="L55" s="396">
        <f t="shared" si="7"/>
        <v>-38</v>
      </c>
      <c r="M55" s="396">
        <f t="shared" si="8"/>
        <v>-38</v>
      </c>
      <c r="N55" s="396">
        <f t="shared" si="9"/>
        <v>-38</v>
      </c>
      <c r="O55" s="396">
        <f t="shared" si="10"/>
        <v>-38</v>
      </c>
      <c r="P55" s="396">
        <f t="shared" si="11"/>
        <v>-38</v>
      </c>
      <c r="Q55" s="396">
        <f t="shared" si="12"/>
        <v>-38</v>
      </c>
      <c r="R55" s="396">
        <f t="shared" si="13"/>
        <v>-38</v>
      </c>
      <c r="S55" s="396">
        <f t="shared" si="14"/>
        <v>-38</v>
      </c>
      <c r="T55" s="396">
        <f t="shared" si="15"/>
        <v>-37</v>
      </c>
      <c r="U55" s="396">
        <f t="shared" si="16"/>
        <v>-36</v>
      </c>
      <c r="V55" s="396">
        <f t="shared" si="17"/>
        <v>-35</v>
      </c>
      <c r="W55" s="396">
        <f t="shared" si="18"/>
        <v>-34</v>
      </c>
      <c r="X55" s="396">
        <f t="shared" si="19"/>
        <v>-33</v>
      </c>
      <c r="Y55" s="396">
        <f t="shared" si="20"/>
        <v>-32</v>
      </c>
      <c r="Z55" s="396">
        <f t="shared" si="21"/>
        <v>-31</v>
      </c>
      <c r="AA55" s="396">
        <f t="shared" si="22"/>
        <v>-30</v>
      </c>
      <c r="AB55" s="396">
        <f t="shared" si="23"/>
        <v>-29</v>
      </c>
      <c r="AC55" s="396">
        <f t="shared" si="24"/>
        <v>-28</v>
      </c>
      <c r="AD55" s="396">
        <f t="shared" si="25"/>
        <v>-27</v>
      </c>
      <c r="AE55" s="396">
        <f t="shared" si="26"/>
        <v>-26</v>
      </c>
      <c r="AF55" s="396">
        <f t="shared" si="27"/>
        <v>-25</v>
      </c>
      <c r="AG55" s="396">
        <f t="shared" si="28"/>
        <v>-24</v>
      </c>
      <c r="AH55" s="396">
        <f t="shared" si="29"/>
        <v>-23</v>
      </c>
      <c r="AI55" s="396">
        <f t="shared" si="30"/>
        <v>-22</v>
      </c>
      <c r="AJ55" s="396">
        <f t="shared" si="31"/>
        <v>-21</v>
      </c>
      <c r="AK55" s="396">
        <f t="shared" si="32"/>
        <v>-20</v>
      </c>
      <c r="AL55" s="396">
        <f t="shared" si="33"/>
        <v>-19</v>
      </c>
      <c r="AM55" s="396">
        <f t="shared" si="34"/>
        <v>-18</v>
      </c>
      <c r="AN55" s="396">
        <f t="shared" si="35"/>
        <v>-17</v>
      </c>
      <c r="AO55" s="396">
        <f t="shared" si="36"/>
        <v>-16</v>
      </c>
      <c r="AP55" s="396">
        <f t="shared" si="37"/>
        <v>-15</v>
      </c>
      <c r="AQ55" s="396">
        <f t="shared" si="38"/>
        <v>-14</v>
      </c>
      <c r="AR55" s="396">
        <f t="shared" si="39"/>
        <v>-13</v>
      </c>
      <c r="AS55" s="396">
        <f t="shared" si="40"/>
        <v>-12</v>
      </c>
      <c r="AT55" s="396">
        <f t="shared" si="41"/>
        <v>-11</v>
      </c>
      <c r="AU55" s="396">
        <f t="shared" si="42"/>
        <v>-10</v>
      </c>
      <c r="AV55" s="396">
        <f t="shared" si="43"/>
        <v>-9</v>
      </c>
      <c r="AW55" s="396">
        <f t="shared" si="44"/>
        <v>-8</v>
      </c>
      <c r="AX55" s="396">
        <f t="shared" si="45"/>
        <v>-7</v>
      </c>
      <c r="AY55" s="396">
        <f t="shared" si="46"/>
        <v>-6</v>
      </c>
      <c r="AZ55" s="396">
        <f t="shared" si="47"/>
        <v>-5</v>
      </c>
      <c r="BA55" s="396">
        <f t="shared" si="48"/>
        <v>-4</v>
      </c>
      <c r="BB55" s="396">
        <f t="shared" si="49"/>
        <v>-3</v>
      </c>
      <c r="BC55" s="396">
        <f t="shared" si="50"/>
        <v>-2</v>
      </c>
      <c r="BD55" s="396">
        <f t="shared" si="51"/>
        <v>-1</v>
      </c>
      <c r="BE55" s="396">
        <f t="shared" si="52"/>
        <v>0</v>
      </c>
      <c r="BF55" s="396">
        <f t="shared" si="53"/>
        <v>1</v>
      </c>
      <c r="BG55" s="396">
        <f t="shared" si="54"/>
        <v>2</v>
      </c>
      <c r="BH55" s="396">
        <f t="shared" si="55"/>
        <v>3</v>
      </c>
      <c r="BI55" s="396">
        <f t="shared" si="56"/>
        <v>4</v>
      </c>
      <c r="BJ55" s="396">
        <f t="shared" si="57"/>
        <v>5</v>
      </c>
      <c r="BK55" s="396">
        <f t="shared" si="58"/>
        <v>6</v>
      </c>
      <c r="BL55" s="396">
        <f t="shared" si="59"/>
        <v>7</v>
      </c>
    </row>
    <row r="56" spans="1:64" ht="15">
      <c r="A56" s="375">
        <v>55</v>
      </c>
      <c r="B56" s="409">
        <f t="shared" si="61"/>
        <v>1</v>
      </c>
      <c r="C56" s="386"/>
      <c r="D56" s="411">
        <f t="shared" si="62"/>
        <v>-39</v>
      </c>
      <c r="E56" s="396">
        <f t="shared" si="0"/>
        <v>-39</v>
      </c>
      <c r="F56" s="396">
        <f t="shared" si="1"/>
        <v>-39</v>
      </c>
      <c r="G56" s="396">
        <f t="shared" si="2"/>
        <v>-39</v>
      </c>
      <c r="H56" s="396">
        <f t="shared" si="3"/>
        <v>-39</v>
      </c>
      <c r="I56" s="396">
        <f t="shared" si="4"/>
        <v>-39</v>
      </c>
      <c r="J56" s="396">
        <f t="shared" si="5"/>
        <v>-39</v>
      </c>
      <c r="K56" s="396">
        <f t="shared" si="6"/>
        <v>-39</v>
      </c>
      <c r="L56" s="396">
        <f t="shared" si="7"/>
        <v>-39</v>
      </c>
      <c r="M56" s="396">
        <f t="shared" si="8"/>
        <v>-39</v>
      </c>
      <c r="N56" s="396">
        <f t="shared" si="9"/>
        <v>-39</v>
      </c>
      <c r="O56" s="396">
        <f t="shared" si="10"/>
        <v>-39</v>
      </c>
      <c r="P56" s="396">
        <f t="shared" si="11"/>
        <v>-39</v>
      </c>
      <c r="Q56" s="396">
        <f t="shared" si="12"/>
        <v>-39</v>
      </c>
      <c r="R56" s="396">
        <f t="shared" si="13"/>
        <v>-39</v>
      </c>
      <c r="S56" s="396">
        <f t="shared" si="14"/>
        <v>-39</v>
      </c>
      <c r="T56" s="396">
        <f t="shared" si="15"/>
        <v>-38</v>
      </c>
      <c r="U56" s="396">
        <f t="shared" si="16"/>
        <v>-37</v>
      </c>
      <c r="V56" s="396">
        <f t="shared" si="17"/>
        <v>-36</v>
      </c>
      <c r="W56" s="396">
        <f t="shared" si="18"/>
        <v>-35</v>
      </c>
      <c r="X56" s="396">
        <f t="shared" si="19"/>
        <v>-34</v>
      </c>
      <c r="Y56" s="396">
        <f t="shared" si="20"/>
        <v>-33</v>
      </c>
      <c r="Z56" s="396">
        <f t="shared" si="21"/>
        <v>-32</v>
      </c>
      <c r="AA56" s="396">
        <f t="shared" si="22"/>
        <v>-31</v>
      </c>
      <c r="AB56" s="396">
        <f t="shared" si="23"/>
        <v>-30</v>
      </c>
      <c r="AC56" s="396">
        <f t="shared" si="24"/>
        <v>-29</v>
      </c>
      <c r="AD56" s="396">
        <f t="shared" si="25"/>
        <v>-28</v>
      </c>
      <c r="AE56" s="396">
        <f t="shared" si="26"/>
        <v>-27</v>
      </c>
      <c r="AF56" s="396">
        <f t="shared" si="27"/>
        <v>-26</v>
      </c>
      <c r="AG56" s="396">
        <f t="shared" si="28"/>
        <v>-25</v>
      </c>
      <c r="AH56" s="396">
        <f t="shared" si="29"/>
        <v>-24</v>
      </c>
      <c r="AI56" s="396">
        <f t="shared" si="30"/>
        <v>-23</v>
      </c>
      <c r="AJ56" s="396">
        <f t="shared" si="31"/>
        <v>-22</v>
      </c>
      <c r="AK56" s="396">
        <f t="shared" si="32"/>
        <v>-21</v>
      </c>
      <c r="AL56" s="396">
        <f t="shared" si="33"/>
        <v>-20</v>
      </c>
      <c r="AM56" s="396">
        <f t="shared" si="34"/>
        <v>-19</v>
      </c>
      <c r="AN56" s="396">
        <f t="shared" si="35"/>
        <v>-18</v>
      </c>
      <c r="AO56" s="396">
        <f t="shared" si="36"/>
        <v>-17</v>
      </c>
      <c r="AP56" s="396">
        <f t="shared" si="37"/>
        <v>-16</v>
      </c>
      <c r="AQ56" s="396">
        <f t="shared" si="38"/>
        <v>-15</v>
      </c>
      <c r="AR56" s="396">
        <f t="shared" si="39"/>
        <v>-14</v>
      </c>
      <c r="AS56" s="396">
        <f t="shared" si="40"/>
        <v>-13</v>
      </c>
      <c r="AT56" s="396">
        <f t="shared" si="41"/>
        <v>-12</v>
      </c>
      <c r="AU56" s="396">
        <f t="shared" si="42"/>
        <v>-11</v>
      </c>
      <c r="AV56" s="396">
        <f t="shared" si="43"/>
        <v>-10</v>
      </c>
      <c r="AW56" s="396">
        <f t="shared" si="44"/>
        <v>-9</v>
      </c>
      <c r="AX56" s="396">
        <f t="shared" si="45"/>
        <v>-8</v>
      </c>
      <c r="AY56" s="396">
        <f t="shared" si="46"/>
        <v>-7</v>
      </c>
      <c r="AZ56" s="396">
        <f t="shared" si="47"/>
        <v>-6</v>
      </c>
      <c r="BA56" s="396">
        <f t="shared" si="48"/>
        <v>-5</v>
      </c>
      <c r="BB56" s="396">
        <f t="shared" si="49"/>
        <v>-4</v>
      </c>
      <c r="BC56" s="396">
        <f t="shared" si="50"/>
        <v>-3</v>
      </c>
      <c r="BD56" s="396">
        <f t="shared" si="51"/>
        <v>-2</v>
      </c>
      <c r="BE56" s="396">
        <f t="shared" si="52"/>
        <v>-1</v>
      </c>
      <c r="BF56" s="396">
        <f t="shared" si="53"/>
        <v>0</v>
      </c>
      <c r="BG56" s="396">
        <f t="shared" si="54"/>
        <v>1</v>
      </c>
      <c r="BH56" s="396">
        <f t="shared" si="55"/>
        <v>2</v>
      </c>
      <c r="BI56" s="396">
        <f t="shared" si="56"/>
        <v>3</v>
      </c>
      <c r="BJ56" s="396">
        <f t="shared" si="57"/>
        <v>4</v>
      </c>
      <c r="BK56" s="396">
        <f t="shared" si="58"/>
        <v>5</v>
      </c>
      <c r="BL56" s="396">
        <f t="shared" si="59"/>
        <v>6</v>
      </c>
    </row>
    <row r="57" spans="1:64" ht="15">
      <c r="A57" s="375">
        <v>56</v>
      </c>
      <c r="B57" s="409">
        <f t="shared" si="61"/>
        <v>1</v>
      </c>
      <c r="C57" s="386"/>
      <c r="D57" s="411">
        <f t="shared" si="62"/>
        <v>-40</v>
      </c>
      <c r="E57" s="396">
        <f t="shared" si="0"/>
        <v>-40</v>
      </c>
      <c r="F57" s="396">
        <f t="shared" si="1"/>
        <v>-40</v>
      </c>
      <c r="G57" s="396">
        <f t="shared" si="2"/>
        <v>-40</v>
      </c>
      <c r="H57" s="396">
        <f t="shared" si="3"/>
        <v>-40</v>
      </c>
      <c r="I57" s="396">
        <f t="shared" si="4"/>
        <v>-40</v>
      </c>
      <c r="J57" s="396">
        <f t="shared" si="5"/>
        <v>-40</v>
      </c>
      <c r="K57" s="396">
        <f t="shared" si="6"/>
        <v>-40</v>
      </c>
      <c r="L57" s="396">
        <f t="shared" si="7"/>
        <v>-40</v>
      </c>
      <c r="M57" s="396">
        <f t="shared" si="8"/>
        <v>-40</v>
      </c>
      <c r="N57" s="396">
        <f t="shared" si="9"/>
        <v>-40</v>
      </c>
      <c r="O57" s="396">
        <f t="shared" si="10"/>
        <v>-40</v>
      </c>
      <c r="P57" s="396">
        <f t="shared" si="11"/>
        <v>-40</v>
      </c>
      <c r="Q57" s="396">
        <f t="shared" si="12"/>
        <v>-40</v>
      </c>
      <c r="R57" s="396">
        <f t="shared" si="13"/>
        <v>-40</v>
      </c>
      <c r="S57" s="396">
        <f t="shared" si="14"/>
        <v>-40</v>
      </c>
      <c r="T57" s="396">
        <f t="shared" si="15"/>
        <v>-39</v>
      </c>
      <c r="U57" s="396">
        <f t="shared" si="16"/>
        <v>-38</v>
      </c>
      <c r="V57" s="396">
        <f t="shared" si="17"/>
        <v>-37</v>
      </c>
      <c r="W57" s="396">
        <f t="shared" si="18"/>
        <v>-36</v>
      </c>
      <c r="X57" s="396">
        <f t="shared" si="19"/>
        <v>-35</v>
      </c>
      <c r="Y57" s="396">
        <f t="shared" si="20"/>
        <v>-34</v>
      </c>
      <c r="Z57" s="396">
        <f t="shared" si="21"/>
        <v>-33</v>
      </c>
      <c r="AA57" s="396">
        <f t="shared" si="22"/>
        <v>-32</v>
      </c>
      <c r="AB57" s="396">
        <f t="shared" si="23"/>
        <v>-31</v>
      </c>
      <c r="AC57" s="396">
        <f t="shared" si="24"/>
        <v>-30</v>
      </c>
      <c r="AD57" s="396">
        <f t="shared" si="25"/>
        <v>-29</v>
      </c>
      <c r="AE57" s="396">
        <f t="shared" si="26"/>
        <v>-28</v>
      </c>
      <c r="AF57" s="396">
        <f t="shared" si="27"/>
        <v>-27</v>
      </c>
      <c r="AG57" s="396">
        <f t="shared" si="28"/>
        <v>-26</v>
      </c>
      <c r="AH57" s="396">
        <f t="shared" si="29"/>
        <v>-25</v>
      </c>
      <c r="AI57" s="396">
        <f t="shared" si="30"/>
        <v>-24</v>
      </c>
      <c r="AJ57" s="396">
        <f t="shared" si="31"/>
        <v>-23</v>
      </c>
      <c r="AK57" s="396">
        <f t="shared" si="32"/>
        <v>-22</v>
      </c>
      <c r="AL57" s="396">
        <f t="shared" si="33"/>
        <v>-21</v>
      </c>
      <c r="AM57" s="396">
        <f t="shared" si="34"/>
        <v>-20</v>
      </c>
      <c r="AN57" s="396">
        <f t="shared" si="35"/>
        <v>-19</v>
      </c>
      <c r="AO57" s="396">
        <f t="shared" si="36"/>
        <v>-18</v>
      </c>
      <c r="AP57" s="396">
        <f t="shared" si="37"/>
        <v>-17</v>
      </c>
      <c r="AQ57" s="396">
        <f t="shared" si="38"/>
        <v>-16</v>
      </c>
      <c r="AR57" s="396">
        <f t="shared" si="39"/>
        <v>-15</v>
      </c>
      <c r="AS57" s="396">
        <f t="shared" si="40"/>
        <v>-14</v>
      </c>
      <c r="AT57" s="396">
        <f t="shared" si="41"/>
        <v>-13</v>
      </c>
      <c r="AU57" s="396">
        <f t="shared" si="42"/>
        <v>-12</v>
      </c>
      <c r="AV57" s="396">
        <f t="shared" si="43"/>
        <v>-11</v>
      </c>
      <c r="AW57" s="396">
        <f t="shared" si="44"/>
        <v>-10</v>
      </c>
      <c r="AX57" s="396">
        <f t="shared" si="45"/>
        <v>-9</v>
      </c>
      <c r="AY57" s="396">
        <f t="shared" si="46"/>
        <v>-8</v>
      </c>
      <c r="AZ57" s="396">
        <f t="shared" si="47"/>
        <v>-7</v>
      </c>
      <c r="BA57" s="396">
        <f t="shared" si="48"/>
        <v>-6</v>
      </c>
      <c r="BB57" s="396">
        <f t="shared" si="49"/>
        <v>-5</v>
      </c>
      <c r="BC57" s="396">
        <f t="shared" si="50"/>
        <v>-4</v>
      </c>
      <c r="BD57" s="396">
        <f t="shared" si="51"/>
        <v>-3</v>
      </c>
      <c r="BE57" s="396">
        <f t="shared" si="52"/>
        <v>-2</v>
      </c>
      <c r="BF57" s="396">
        <f t="shared" si="53"/>
        <v>-1</v>
      </c>
      <c r="BG57" s="396">
        <f t="shared" si="54"/>
        <v>0</v>
      </c>
      <c r="BH57" s="396">
        <f t="shared" si="55"/>
        <v>1</v>
      </c>
      <c r="BI57" s="396">
        <f t="shared" si="56"/>
        <v>2</v>
      </c>
      <c r="BJ57" s="396">
        <f t="shared" si="57"/>
        <v>3</v>
      </c>
      <c r="BK57" s="396">
        <f t="shared" si="58"/>
        <v>4</v>
      </c>
      <c r="BL57" s="396">
        <f t="shared" si="59"/>
        <v>5</v>
      </c>
    </row>
    <row r="58" spans="1:64" ht="15">
      <c r="A58" s="375">
        <v>57</v>
      </c>
      <c r="B58" s="409">
        <f t="shared" si="61"/>
        <v>1</v>
      </c>
      <c r="C58" s="386"/>
      <c r="D58" s="411">
        <f t="shared" si="62"/>
        <v>-41</v>
      </c>
      <c r="E58" s="396">
        <f t="shared" si="0"/>
        <v>-41</v>
      </c>
      <c r="F58" s="396">
        <f t="shared" si="1"/>
        <v>-41</v>
      </c>
      <c r="G58" s="396">
        <f t="shared" si="2"/>
        <v>-41</v>
      </c>
      <c r="H58" s="396">
        <f t="shared" si="3"/>
        <v>-41</v>
      </c>
      <c r="I58" s="396">
        <f t="shared" si="4"/>
        <v>-41</v>
      </c>
      <c r="J58" s="396">
        <f t="shared" si="5"/>
        <v>-41</v>
      </c>
      <c r="K58" s="396">
        <f t="shared" si="6"/>
        <v>-41</v>
      </c>
      <c r="L58" s="396">
        <f t="shared" si="7"/>
        <v>-41</v>
      </c>
      <c r="M58" s="396">
        <f t="shared" si="8"/>
        <v>-41</v>
      </c>
      <c r="N58" s="396">
        <f t="shared" si="9"/>
        <v>-41</v>
      </c>
      <c r="O58" s="396">
        <f t="shared" si="10"/>
        <v>-41</v>
      </c>
      <c r="P58" s="396">
        <f t="shared" si="11"/>
        <v>-41</v>
      </c>
      <c r="Q58" s="396">
        <f t="shared" si="12"/>
        <v>-41</v>
      </c>
      <c r="R58" s="396">
        <f t="shared" si="13"/>
        <v>-41</v>
      </c>
      <c r="S58" s="396">
        <f t="shared" si="14"/>
        <v>-41</v>
      </c>
      <c r="T58" s="396">
        <f t="shared" si="15"/>
        <v>-40</v>
      </c>
      <c r="U58" s="396">
        <f t="shared" si="16"/>
        <v>-39</v>
      </c>
      <c r="V58" s="396">
        <f t="shared" si="17"/>
        <v>-38</v>
      </c>
      <c r="W58" s="396">
        <f t="shared" si="18"/>
        <v>-37</v>
      </c>
      <c r="X58" s="396">
        <f t="shared" si="19"/>
        <v>-36</v>
      </c>
      <c r="Y58" s="396">
        <f t="shared" si="20"/>
        <v>-35</v>
      </c>
      <c r="Z58" s="396">
        <f t="shared" si="21"/>
        <v>-34</v>
      </c>
      <c r="AA58" s="396">
        <f t="shared" si="22"/>
        <v>-33</v>
      </c>
      <c r="AB58" s="396">
        <f t="shared" si="23"/>
        <v>-32</v>
      </c>
      <c r="AC58" s="396">
        <f t="shared" si="24"/>
        <v>-31</v>
      </c>
      <c r="AD58" s="396">
        <f t="shared" si="25"/>
        <v>-30</v>
      </c>
      <c r="AE58" s="396">
        <f t="shared" si="26"/>
        <v>-29</v>
      </c>
      <c r="AF58" s="396">
        <f t="shared" si="27"/>
        <v>-28</v>
      </c>
      <c r="AG58" s="396">
        <f t="shared" si="28"/>
        <v>-27</v>
      </c>
      <c r="AH58" s="396">
        <f t="shared" si="29"/>
        <v>-26</v>
      </c>
      <c r="AI58" s="396">
        <f t="shared" si="30"/>
        <v>-25</v>
      </c>
      <c r="AJ58" s="396">
        <f t="shared" si="31"/>
        <v>-24</v>
      </c>
      <c r="AK58" s="396">
        <f t="shared" si="32"/>
        <v>-23</v>
      </c>
      <c r="AL58" s="396">
        <f t="shared" si="33"/>
        <v>-22</v>
      </c>
      <c r="AM58" s="396">
        <f t="shared" si="34"/>
        <v>-21</v>
      </c>
      <c r="AN58" s="396">
        <f t="shared" si="35"/>
        <v>-20</v>
      </c>
      <c r="AO58" s="396">
        <f t="shared" si="36"/>
        <v>-19</v>
      </c>
      <c r="AP58" s="396">
        <f t="shared" si="37"/>
        <v>-18</v>
      </c>
      <c r="AQ58" s="396">
        <f t="shared" si="38"/>
        <v>-17</v>
      </c>
      <c r="AR58" s="396">
        <f t="shared" si="39"/>
        <v>-16</v>
      </c>
      <c r="AS58" s="396">
        <f t="shared" si="40"/>
        <v>-15</v>
      </c>
      <c r="AT58" s="396">
        <f t="shared" si="41"/>
        <v>-14</v>
      </c>
      <c r="AU58" s="396">
        <f t="shared" si="42"/>
        <v>-13</v>
      </c>
      <c r="AV58" s="396">
        <f t="shared" si="43"/>
        <v>-12</v>
      </c>
      <c r="AW58" s="396">
        <f t="shared" si="44"/>
        <v>-11</v>
      </c>
      <c r="AX58" s="396">
        <f t="shared" si="45"/>
        <v>-10</v>
      </c>
      <c r="AY58" s="396">
        <f t="shared" si="46"/>
        <v>-9</v>
      </c>
      <c r="AZ58" s="396">
        <f t="shared" si="47"/>
        <v>-8</v>
      </c>
      <c r="BA58" s="396">
        <f t="shared" si="48"/>
        <v>-7</v>
      </c>
      <c r="BB58" s="396">
        <f t="shared" si="49"/>
        <v>-6</v>
      </c>
      <c r="BC58" s="396">
        <f t="shared" si="50"/>
        <v>-5</v>
      </c>
      <c r="BD58" s="396">
        <f t="shared" si="51"/>
        <v>-4</v>
      </c>
      <c r="BE58" s="396">
        <f t="shared" si="52"/>
        <v>-3</v>
      </c>
      <c r="BF58" s="396">
        <f t="shared" si="53"/>
        <v>-2</v>
      </c>
      <c r="BG58" s="396">
        <f t="shared" si="54"/>
        <v>-1</v>
      </c>
      <c r="BH58" s="396">
        <f t="shared" si="55"/>
        <v>0</v>
      </c>
      <c r="BI58" s="396">
        <f t="shared" si="56"/>
        <v>1</v>
      </c>
      <c r="BJ58" s="396">
        <f t="shared" si="57"/>
        <v>2</v>
      </c>
      <c r="BK58" s="396">
        <f t="shared" si="58"/>
        <v>3</v>
      </c>
      <c r="BL58" s="396">
        <f t="shared" si="59"/>
        <v>4</v>
      </c>
    </row>
    <row r="59" spans="1:64" ht="15">
      <c r="A59" s="375">
        <v>58</v>
      </c>
      <c r="B59" s="409">
        <f t="shared" si="61"/>
        <v>1</v>
      </c>
      <c r="C59" s="386"/>
      <c r="D59" s="411">
        <f t="shared" si="62"/>
        <v>-42</v>
      </c>
      <c r="E59" s="396">
        <f t="shared" si="0"/>
        <v>-42</v>
      </c>
      <c r="F59" s="396">
        <f t="shared" si="1"/>
        <v>-42</v>
      </c>
      <c r="G59" s="396">
        <f t="shared" si="2"/>
        <v>-42</v>
      </c>
      <c r="H59" s="396">
        <f t="shared" si="3"/>
        <v>-42</v>
      </c>
      <c r="I59" s="396">
        <f t="shared" si="4"/>
        <v>-42</v>
      </c>
      <c r="J59" s="396">
        <f t="shared" si="5"/>
        <v>-42</v>
      </c>
      <c r="K59" s="396">
        <f t="shared" si="6"/>
        <v>-42</v>
      </c>
      <c r="L59" s="396">
        <f t="shared" si="7"/>
        <v>-42</v>
      </c>
      <c r="M59" s="396">
        <f t="shared" si="8"/>
        <v>-42</v>
      </c>
      <c r="N59" s="396">
        <f t="shared" si="9"/>
        <v>-42</v>
      </c>
      <c r="O59" s="396">
        <f t="shared" si="10"/>
        <v>-42</v>
      </c>
      <c r="P59" s="396">
        <f t="shared" si="11"/>
        <v>-42</v>
      </c>
      <c r="Q59" s="396">
        <f t="shared" si="12"/>
        <v>-42</v>
      </c>
      <c r="R59" s="396">
        <f t="shared" si="13"/>
        <v>-42</v>
      </c>
      <c r="S59" s="396">
        <f t="shared" si="14"/>
        <v>-42</v>
      </c>
      <c r="T59" s="396">
        <f t="shared" si="15"/>
        <v>-41</v>
      </c>
      <c r="U59" s="396">
        <f t="shared" si="16"/>
        <v>-40</v>
      </c>
      <c r="V59" s="396">
        <f t="shared" si="17"/>
        <v>-39</v>
      </c>
      <c r="W59" s="396">
        <f t="shared" si="18"/>
        <v>-38</v>
      </c>
      <c r="X59" s="396">
        <f t="shared" si="19"/>
        <v>-37</v>
      </c>
      <c r="Y59" s="396">
        <f t="shared" si="20"/>
        <v>-36</v>
      </c>
      <c r="Z59" s="396">
        <f t="shared" si="21"/>
        <v>-35</v>
      </c>
      <c r="AA59" s="396">
        <f t="shared" si="22"/>
        <v>-34</v>
      </c>
      <c r="AB59" s="396">
        <f t="shared" si="23"/>
        <v>-33</v>
      </c>
      <c r="AC59" s="396">
        <f t="shared" si="24"/>
        <v>-32</v>
      </c>
      <c r="AD59" s="396">
        <f t="shared" si="25"/>
        <v>-31</v>
      </c>
      <c r="AE59" s="396">
        <f t="shared" si="26"/>
        <v>-30</v>
      </c>
      <c r="AF59" s="396">
        <f t="shared" si="27"/>
        <v>-29</v>
      </c>
      <c r="AG59" s="396">
        <f t="shared" si="28"/>
        <v>-28</v>
      </c>
      <c r="AH59" s="396">
        <f t="shared" si="29"/>
        <v>-27</v>
      </c>
      <c r="AI59" s="396">
        <f t="shared" si="30"/>
        <v>-26</v>
      </c>
      <c r="AJ59" s="396">
        <f t="shared" si="31"/>
        <v>-25</v>
      </c>
      <c r="AK59" s="396">
        <f t="shared" si="32"/>
        <v>-24</v>
      </c>
      <c r="AL59" s="396">
        <f t="shared" si="33"/>
        <v>-23</v>
      </c>
      <c r="AM59" s="396">
        <f t="shared" si="34"/>
        <v>-22</v>
      </c>
      <c r="AN59" s="396">
        <f t="shared" si="35"/>
        <v>-21</v>
      </c>
      <c r="AO59" s="396">
        <f t="shared" si="36"/>
        <v>-20</v>
      </c>
      <c r="AP59" s="396">
        <f t="shared" si="37"/>
        <v>-19</v>
      </c>
      <c r="AQ59" s="396">
        <f t="shared" si="38"/>
        <v>-18</v>
      </c>
      <c r="AR59" s="396">
        <f t="shared" si="39"/>
        <v>-17</v>
      </c>
      <c r="AS59" s="396">
        <f t="shared" si="40"/>
        <v>-16</v>
      </c>
      <c r="AT59" s="396">
        <f t="shared" si="41"/>
        <v>-15</v>
      </c>
      <c r="AU59" s="396">
        <f t="shared" si="42"/>
        <v>-14</v>
      </c>
      <c r="AV59" s="396">
        <f t="shared" si="43"/>
        <v>-13</v>
      </c>
      <c r="AW59" s="396">
        <f t="shared" si="44"/>
        <v>-12</v>
      </c>
      <c r="AX59" s="396">
        <f t="shared" si="45"/>
        <v>-11</v>
      </c>
      <c r="AY59" s="396">
        <f t="shared" si="46"/>
        <v>-10</v>
      </c>
      <c r="AZ59" s="396">
        <f t="shared" si="47"/>
        <v>-9</v>
      </c>
      <c r="BA59" s="396">
        <f t="shared" si="48"/>
        <v>-8</v>
      </c>
      <c r="BB59" s="396">
        <f t="shared" si="49"/>
        <v>-7</v>
      </c>
      <c r="BC59" s="396">
        <f t="shared" si="50"/>
        <v>-6</v>
      </c>
      <c r="BD59" s="396">
        <f t="shared" si="51"/>
        <v>-5</v>
      </c>
      <c r="BE59" s="396">
        <f t="shared" si="52"/>
        <v>-4</v>
      </c>
      <c r="BF59" s="396">
        <f t="shared" si="53"/>
        <v>-3</v>
      </c>
      <c r="BG59" s="396">
        <f t="shared" si="54"/>
        <v>-2</v>
      </c>
      <c r="BH59" s="396">
        <f t="shared" si="55"/>
        <v>-1</v>
      </c>
      <c r="BI59" s="396">
        <f t="shared" si="56"/>
        <v>0</v>
      </c>
      <c r="BJ59" s="396">
        <f t="shared" si="57"/>
        <v>1</v>
      </c>
      <c r="BK59" s="396">
        <f t="shared" si="58"/>
        <v>2</v>
      </c>
      <c r="BL59" s="396">
        <f t="shared" si="59"/>
        <v>3</v>
      </c>
    </row>
    <row r="60" spans="1:64" ht="15">
      <c r="A60" s="375">
        <v>59</v>
      </c>
      <c r="B60" s="409">
        <f t="shared" si="61"/>
        <v>1</v>
      </c>
      <c r="C60" s="386"/>
      <c r="D60" s="411">
        <f t="shared" si="62"/>
        <v>-43</v>
      </c>
      <c r="E60" s="396">
        <f t="shared" si="0"/>
        <v>-43</v>
      </c>
      <c r="F60" s="396">
        <f t="shared" si="1"/>
        <v>-43</v>
      </c>
      <c r="G60" s="396">
        <f t="shared" si="2"/>
        <v>-43</v>
      </c>
      <c r="H60" s="396">
        <f t="shared" si="3"/>
        <v>-43</v>
      </c>
      <c r="I60" s="396">
        <f t="shared" si="4"/>
        <v>-43</v>
      </c>
      <c r="J60" s="396">
        <f t="shared" si="5"/>
        <v>-43</v>
      </c>
      <c r="K60" s="396">
        <f t="shared" si="6"/>
        <v>-43</v>
      </c>
      <c r="L60" s="396">
        <f t="shared" si="7"/>
        <v>-43</v>
      </c>
      <c r="M60" s="396">
        <f t="shared" si="8"/>
        <v>-43</v>
      </c>
      <c r="N60" s="396">
        <f t="shared" si="9"/>
        <v>-43</v>
      </c>
      <c r="O60" s="396">
        <f t="shared" si="10"/>
        <v>-43</v>
      </c>
      <c r="P60" s="396">
        <f t="shared" si="11"/>
        <v>-43</v>
      </c>
      <c r="Q60" s="396">
        <f t="shared" si="12"/>
        <v>-43</v>
      </c>
      <c r="R60" s="396">
        <f t="shared" si="13"/>
        <v>-43</v>
      </c>
      <c r="S60" s="396">
        <f t="shared" si="14"/>
        <v>-43</v>
      </c>
      <c r="T60" s="396">
        <f t="shared" si="15"/>
        <v>-42</v>
      </c>
      <c r="U60" s="396">
        <f t="shared" si="16"/>
        <v>-41</v>
      </c>
      <c r="V60" s="396">
        <f t="shared" si="17"/>
        <v>-40</v>
      </c>
      <c r="W60" s="396">
        <f t="shared" si="18"/>
        <v>-39</v>
      </c>
      <c r="X60" s="396">
        <f t="shared" si="19"/>
        <v>-38</v>
      </c>
      <c r="Y60" s="396">
        <f t="shared" si="20"/>
        <v>-37</v>
      </c>
      <c r="Z60" s="396">
        <f t="shared" si="21"/>
        <v>-36</v>
      </c>
      <c r="AA60" s="396">
        <f t="shared" si="22"/>
        <v>-35</v>
      </c>
      <c r="AB60" s="396">
        <f t="shared" si="23"/>
        <v>-34</v>
      </c>
      <c r="AC60" s="396">
        <f t="shared" si="24"/>
        <v>-33</v>
      </c>
      <c r="AD60" s="396">
        <f t="shared" si="25"/>
        <v>-32</v>
      </c>
      <c r="AE60" s="396">
        <f t="shared" si="26"/>
        <v>-31</v>
      </c>
      <c r="AF60" s="396">
        <f t="shared" si="27"/>
        <v>-30</v>
      </c>
      <c r="AG60" s="396">
        <f t="shared" si="28"/>
        <v>-29</v>
      </c>
      <c r="AH60" s="396">
        <f t="shared" si="29"/>
        <v>-28</v>
      </c>
      <c r="AI60" s="396">
        <f t="shared" si="30"/>
        <v>-27</v>
      </c>
      <c r="AJ60" s="396">
        <f t="shared" si="31"/>
        <v>-26</v>
      </c>
      <c r="AK60" s="396">
        <f t="shared" si="32"/>
        <v>-25</v>
      </c>
      <c r="AL60" s="396">
        <f t="shared" si="33"/>
        <v>-24</v>
      </c>
      <c r="AM60" s="396">
        <f t="shared" si="34"/>
        <v>-23</v>
      </c>
      <c r="AN60" s="396">
        <f t="shared" si="35"/>
        <v>-22</v>
      </c>
      <c r="AO60" s="396">
        <f t="shared" si="36"/>
        <v>-21</v>
      </c>
      <c r="AP60" s="396">
        <f t="shared" si="37"/>
        <v>-20</v>
      </c>
      <c r="AQ60" s="396">
        <f t="shared" si="38"/>
        <v>-19</v>
      </c>
      <c r="AR60" s="396">
        <f t="shared" si="39"/>
        <v>-18</v>
      </c>
      <c r="AS60" s="396">
        <f t="shared" si="40"/>
        <v>-17</v>
      </c>
      <c r="AT60" s="396">
        <f t="shared" si="41"/>
        <v>-16</v>
      </c>
      <c r="AU60" s="396">
        <f t="shared" si="42"/>
        <v>-15</v>
      </c>
      <c r="AV60" s="396">
        <f t="shared" si="43"/>
        <v>-14</v>
      </c>
      <c r="AW60" s="396">
        <f t="shared" si="44"/>
        <v>-13</v>
      </c>
      <c r="AX60" s="396">
        <f t="shared" si="45"/>
        <v>-12</v>
      </c>
      <c r="AY60" s="396">
        <f t="shared" si="46"/>
        <v>-11</v>
      </c>
      <c r="AZ60" s="396">
        <f t="shared" si="47"/>
        <v>-10</v>
      </c>
      <c r="BA60" s="396">
        <f t="shared" si="48"/>
        <v>-9</v>
      </c>
      <c r="BB60" s="396">
        <f t="shared" si="49"/>
        <v>-8</v>
      </c>
      <c r="BC60" s="396">
        <f t="shared" si="50"/>
        <v>-7</v>
      </c>
      <c r="BD60" s="396">
        <f t="shared" si="51"/>
        <v>-6</v>
      </c>
      <c r="BE60" s="396">
        <f t="shared" si="52"/>
        <v>-5</v>
      </c>
      <c r="BF60" s="396">
        <f t="shared" si="53"/>
        <v>-4</v>
      </c>
      <c r="BG60" s="396">
        <f t="shared" si="54"/>
        <v>-3</v>
      </c>
      <c r="BH60" s="396">
        <f t="shared" si="55"/>
        <v>-2</v>
      </c>
      <c r="BI60" s="396">
        <f t="shared" si="56"/>
        <v>-1</v>
      </c>
      <c r="BJ60" s="396">
        <f t="shared" si="57"/>
        <v>0</v>
      </c>
      <c r="BK60" s="396">
        <f t="shared" si="58"/>
        <v>1</v>
      </c>
      <c r="BL60" s="396">
        <f t="shared" si="59"/>
        <v>2</v>
      </c>
    </row>
    <row r="61" spans="1:64" ht="15">
      <c r="A61" s="375">
        <v>60</v>
      </c>
      <c r="B61" s="409">
        <f t="shared" si="61"/>
        <v>1</v>
      </c>
      <c r="C61" s="386"/>
      <c r="D61" s="411">
        <f t="shared" si="62"/>
        <v>-44</v>
      </c>
      <c r="E61" s="396">
        <f t="shared" si="0"/>
        <v>-44</v>
      </c>
      <c r="F61" s="396">
        <f t="shared" si="1"/>
        <v>-44</v>
      </c>
      <c r="G61" s="396">
        <f t="shared" si="2"/>
        <v>-44</v>
      </c>
      <c r="H61" s="396">
        <f t="shared" si="3"/>
        <v>-44</v>
      </c>
      <c r="I61" s="396">
        <f t="shared" si="4"/>
        <v>-44</v>
      </c>
      <c r="J61" s="396">
        <f t="shared" si="5"/>
        <v>-44</v>
      </c>
      <c r="K61" s="396">
        <f t="shared" si="6"/>
        <v>-44</v>
      </c>
      <c r="L61" s="396">
        <f t="shared" si="7"/>
        <v>-44</v>
      </c>
      <c r="M61" s="396">
        <f t="shared" si="8"/>
        <v>-44</v>
      </c>
      <c r="N61" s="396">
        <f t="shared" si="9"/>
        <v>-44</v>
      </c>
      <c r="O61" s="396">
        <f t="shared" si="10"/>
        <v>-44</v>
      </c>
      <c r="P61" s="396">
        <f t="shared" si="11"/>
        <v>-44</v>
      </c>
      <c r="Q61" s="396">
        <f t="shared" si="12"/>
        <v>-44</v>
      </c>
      <c r="R61" s="396">
        <f t="shared" si="13"/>
        <v>-44</v>
      </c>
      <c r="S61" s="396">
        <f t="shared" si="14"/>
        <v>-44</v>
      </c>
      <c r="T61" s="396">
        <f t="shared" si="15"/>
        <v>-43</v>
      </c>
      <c r="U61" s="396">
        <f t="shared" si="16"/>
        <v>-42</v>
      </c>
      <c r="V61" s="396">
        <f t="shared" si="17"/>
        <v>-41</v>
      </c>
      <c r="W61" s="396">
        <f t="shared" si="18"/>
        <v>-40</v>
      </c>
      <c r="X61" s="396">
        <f t="shared" si="19"/>
        <v>-39</v>
      </c>
      <c r="Y61" s="396">
        <f t="shared" si="20"/>
        <v>-38</v>
      </c>
      <c r="Z61" s="396">
        <f t="shared" si="21"/>
        <v>-37</v>
      </c>
      <c r="AA61" s="396">
        <f t="shared" si="22"/>
        <v>-36</v>
      </c>
      <c r="AB61" s="396">
        <f t="shared" si="23"/>
        <v>-35</v>
      </c>
      <c r="AC61" s="396">
        <f t="shared" si="24"/>
        <v>-34</v>
      </c>
      <c r="AD61" s="396">
        <f t="shared" si="25"/>
        <v>-33</v>
      </c>
      <c r="AE61" s="396">
        <f t="shared" si="26"/>
        <v>-32</v>
      </c>
      <c r="AF61" s="396">
        <f t="shared" si="27"/>
        <v>-31</v>
      </c>
      <c r="AG61" s="396">
        <f t="shared" si="28"/>
        <v>-30</v>
      </c>
      <c r="AH61" s="396">
        <f t="shared" si="29"/>
        <v>-29</v>
      </c>
      <c r="AI61" s="396">
        <f t="shared" si="30"/>
        <v>-28</v>
      </c>
      <c r="AJ61" s="396">
        <f t="shared" si="31"/>
        <v>-27</v>
      </c>
      <c r="AK61" s="396">
        <f t="shared" si="32"/>
        <v>-26</v>
      </c>
      <c r="AL61" s="396">
        <f t="shared" si="33"/>
        <v>-25</v>
      </c>
      <c r="AM61" s="396">
        <f t="shared" si="34"/>
        <v>-24</v>
      </c>
      <c r="AN61" s="396">
        <f t="shared" si="35"/>
        <v>-23</v>
      </c>
      <c r="AO61" s="396">
        <f t="shared" si="36"/>
        <v>-22</v>
      </c>
      <c r="AP61" s="396">
        <f t="shared" si="37"/>
        <v>-21</v>
      </c>
      <c r="AQ61" s="396">
        <f t="shared" si="38"/>
        <v>-20</v>
      </c>
      <c r="AR61" s="396">
        <f t="shared" si="39"/>
        <v>-19</v>
      </c>
      <c r="AS61" s="396">
        <f t="shared" si="40"/>
        <v>-18</v>
      </c>
      <c r="AT61" s="396">
        <f t="shared" si="41"/>
        <v>-17</v>
      </c>
      <c r="AU61" s="396">
        <f t="shared" si="42"/>
        <v>-16</v>
      </c>
      <c r="AV61" s="396">
        <f t="shared" si="43"/>
        <v>-15</v>
      </c>
      <c r="AW61" s="396">
        <f t="shared" si="44"/>
        <v>-14</v>
      </c>
      <c r="AX61" s="396">
        <f t="shared" si="45"/>
        <v>-13</v>
      </c>
      <c r="AY61" s="396">
        <f t="shared" si="46"/>
        <v>-12</v>
      </c>
      <c r="AZ61" s="396">
        <f t="shared" si="47"/>
        <v>-11</v>
      </c>
      <c r="BA61" s="396">
        <f t="shared" si="48"/>
        <v>-10</v>
      </c>
      <c r="BB61" s="396">
        <f t="shared" si="49"/>
        <v>-9</v>
      </c>
      <c r="BC61" s="396">
        <f t="shared" si="50"/>
        <v>-8</v>
      </c>
      <c r="BD61" s="396">
        <f t="shared" si="51"/>
        <v>-7</v>
      </c>
      <c r="BE61" s="396">
        <f t="shared" si="52"/>
        <v>-6</v>
      </c>
      <c r="BF61" s="396">
        <f t="shared" si="53"/>
        <v>-5</v>
      </c>
      <c r="BG61" s="396">
        <f t="shared" si="54"/>
        <v>-4</v>
      </c>
      <c r="BH61" s="396">
        <f t="shared" si="55"/>
        <v>-3</v>
      </c>
      <c r="BI61" s="396">
        <f t="shared" si="56"/>
        <v>-2</v>
      </c>
      <c r="BJ61" s="396">
        <f t="shared" si="57"/>
        <v>-1</v>
      </c>
      <c r="BK61" s="396">
        <f t="shared" si="58"/>
        <v>0</v>
      </c>
      <c r="BL61" s="396">
        <f t="shared" si="59"/>
        <v>1</v>
      </c>
    </row>
  </sheetData>
  <sheetProtection password="88A3" sheet="1" objects="1" scenarios="1"/>
  <conditionalFormatting sqref="A2:A5">
    <cfRule type="cellIs" priority="1" dxfId="24" operator="equal" stopIfTrue="1">
      <formula>1</formula>
    </cfRule>
    <cfRule type="cellIs" priority="2" dxfId="25" operator="equal" stopIfTrue="1">
      <formula>2</formula>
    </cfRule>
    <cfRule type="cellIs" priority="3" dxfId="26" operator="equal" stopIfTrue="1">
      <formula>3</formula>
    </cfRule>
  </conditionalFormatting>
  <conditionalFormatting sqref="E1:BL65536">
    <cfRule type="expression" priority="4" dxfId="27" stopIfTrue="1">
      <formula>(E$1=audience)</formula>
    </cfRule>
    <cfRule type="cellIs" priority="5" dxfId="28" operator="lessThanOrEqual" stopIfTrue="1">
      <formula>0</formula>
    </cfRule>
  </conditionalFormatting>
  <printOptions gridLines="1"/>
  <pageMargins left="0.39375" right="0.39375" top="0.9840277777777777" bottom="0.9840277777777777" header="0.5118055555555555" footer="0.5118055555555555"/>
  <pageSetup fitToHeight="1" fitToWidth="1" horizontalDpi="300" verticalDpi="300" orientation="landscape" paperSize="9"/>
  <headerFooter alignWithMargins="0">
    <oddHeader>&amp;LSimulation du classement Championnat de France&amp;C(&amp;A)&amp;Rédition au &amp;D, page &amp;P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T19"/>
  <sheetViews>
    <sheetView zoomScale="90" zoomScaleNormal="90" zoomScaleSheetLayoutView="100" workbookViewId="0" topLeftCell="A1">
      <pane xSplit="1" topLeftCell="B1" activePane="topRight" state="frozen"/>
      <selection pane="topLeft" activeCell="A1" sqref="A1"/>
      <selection pane="topRight" activeCell="A1" sqref="A1"/>
    </sheetView>
  </sheetViews>
  <sheetFormatPr defaultColWidth="9.140625" defaultRowHeight="15"/>
  <cols>
    <col min="1" max="1" width="18.7109375" style="420" customWidth="1"/>
    <col min="2" max="2" width="9.7109375" style="421" customWidth="1"/>
    <col min="3" max="3" width="8.00390625" style="421" customWidth="1"/>
    <col min="4" max="4" width="8.421875" style="421" customWidth="1"/>
    <col min="5" max="19" width="3.7109375" style="422" customWidth="1"/>
    <col min="20" max="20" width="6.00390625" style="422" customWidth="1"/>
    <col min="21" max="21" width="9.7109375" style="421" customWidth="1"/>
    <col min="22" max="36" width="3.7109375" style="422" customWidth="1"/>
    <col min="37" max="38" width="5.8515625" style="422" customWidth="1"/>
    <col min="39" max="39" width="10.57421875" style="422" customWidth="1"/>
    <col min="40" max="40" width="8.7109375" style="422" customWidth="1"/>
    <col min="41" max="41" width="8.7109375" style="421" customWidth="1"/>
    <col min="42" max="42" width="9.57421875" style="421" customWidth="1"/>
    <col min="43" max="43" width="9.7109375" style="421" customWidth="1"/>
    <col min="44" max="44" width="3.00390625" style="421" customWidth="1"/>
    <col min="45" max="45" width="16.00390625" style="421" customWidth="1"/>
    <col min="46" max="16384" width="11.421875" style="421" customWidth="1"/>
  </cols>
  <sheetData>
    <row r="1" spans="1:39" s="426" customFormat="1" ht="24.75" customHeight="1">
      <c r="A1" s="423" t="s">
        <v>82</v>
      </c>
      <c r="B1" s="209">
        <f>Parcours!$B$1</f>
        <v>0</v>
      </c>
      <c r="C1" s="424"/>
      <c r="D1" s="424"/>
      <c r="E1" s="425"/>
      <c r="F1" s="425"/>
      <c r="G1" s="424"/>
      <c r="H1" s="424"/>
      <c r="I1" s="424"/>
      <c r="J1" s="424"/>
      <c r="K1" s="424"/>
      <c r="L1" s="424"/>
      <c r="M1" s="424"/>
      <c r="N1" s="424"/>
      <c r="O1" s="424"/>
      <c r="U1" s="209">
        <f>Parcours!$B$1</f>
        <v>0</v>
      </c>
      <c r="AM1" s="209">
        <f>Parcours!$B$1</f>
        <v>0</v>
      </c>
    </row>
    <row r="2" spans="1:39" s="426" customFormat="1" ht="24.75" customHeight="1">
      <c r="A2" s="427">
        <f>Niveau</f>
        <v>0</v>
      </c>
      <c r="B2" s="209">
        <f>Parcours!$B$2</f>
        <v>0</v>
      </c>
      <c r="C2" s="428"/>
      <c r="D2" s="428"/>
      <c r="E2" s="429"/>
      <c r="F2" s="429"/>
      <c r="G2" s="424"/>
      <c r="H2" s="424"/>
      <c r="I2" s="424"/>
      <c r="J2" s="424"/>
      <c r="K2" s="424"/>
      <c r="L2" s="424"/>
      <c r="M2" s="424"/>
      <c r="N2" s="424"/>
      <c r="O2" s="424"/>
      <c r="U2" s="209">
        <f>Parcours!$B$2</f>
        <v>0</v>
      </c>
      <c r="AM2" s="209">
        <f>Parcours!$B$2</f>
        <v>0</v>
      </c>
    </row>
    <row r="3" spans="1:46" s="436" customFormat="1" ht="30" customHeight="1">
      <c r="A3" s="430" t="s">
        <v>303</v>
      </c>
      <c r="B3" s="431">
        <f>Nombre_de_bornes</f>
        <v>13</v>
      </c>
      <c r="C3" s="431"/>
      <c r="D3" s="431"/>
      <c r="E3" s="431"/>
      <c r="F3" s="431"/>
      <c r="G3" s="431"/>
      <c r="H3" s="431"/>
      <c r="I3" s="431"/>
      <c r="J3" s="431"/>
      <c r="K3" s="431"/>
      <c r="L3" s="431"/>
      <c r="M3" s="431"/>
      <c r="N3" s="431"/>
      <c r="O3" s="431"/>
      <c r="P3" s="431"/>
      <c r="Q3" s="431"/>
      <c r="R3" s="431"/>
      <c r="S3" s="431"/>
      <c r="T3" s="431"/>
      <c r="U3" s="432" t="s">
        <v>262</v>
      </c>
      <c r="V3" s="432"/>
      <c r="W3" s="432"/>
      <c r="X3" s="432"/>
      <c r="Y3" s="432"/>
      <c r="Z3" s="432"/>
      <c r="AA3" s="432"/>
      <c r="AB3" s="432"/>
      <c r="AC3" s="432"/>
      <c r="AD3" s="432"/>
      <c r="AE3" s="432"/>
      <c r="AF3" s="432"/>
      <c r="AG3" s="432"/>
      <c r="AH3" s="432"/>
      <c r="AI3" s="432"/>
      <c r="AJ3" s="432"/>
      <c r="AK3" s="432"/>
      <c r="AL3" s="433"/>
      <c r="AM3" s="432" t="s">
        <v>260</v>
      </c>
      <c r="AN3" s="432"/>
      <c r="AO3" s="432"/>
      <c r="AP3" s="432"/>
      <c r="AQ3" s="432"/>
      <c r="AR3" s="434"/>
      <c r="AS3" s="435" t="s">
        <v>256</v>
      </c>
      <c r="AT3" s="434"/>
    </row>
    <row r="4" spans="1:46" s="446" customFormat="1" ht="60.75" customHeight="1">
      <c r="A4" s="430"/>
      <c r="B4" s="437" t="s">
        <v>246</v>
      </c>
      <c r="C4" s="438" t="s">
        <v>304</v>
      </c>
      <c r="D4" s="438" t="s">
        <v>243</v>
      </c>
      <c r="E4" s="439">
        <f>IF(COLUMN()-4&lt;=Nombre_de_bornes,COLUMN()-4,"")</f>
        <v>1</v>
      </c>
      <c r="F4" s="439">
        <f>IF(COLUMN()-4&lt;=Nombre_de_bornes,COLUMN()-4,"")</f>
        <v>2</v>
      </c>
      <c r="G4" s="439">
        <f>IF(COLUMN()-4&lt;=Nombre_de_bornes,COLUMN()-4,"")</f>
        <v>3</v>
      </c>
      <c r="H4" s="439">
        <f>IF(COLUMN()-4&lt;=Nombre_de_bornes,COLUMN()-4,"")</f>
        <v>4</v>
      </c>
      <c r="I4" s="439">
        <f>IF(COLUMN()-4&lt;=Nombre_de_bornes,COLUMN()-4,"")</f>
        <v>5</v>
      </c>
      <c r="J4" s="439">
        <f>IF(COLUMN()-4&lt;=Nombre_de_bornes,COLUMN()-4,"")</f>
        <v>6</v>
      </c>
      <c r="K4" s="439">
        <f>IF(COLUMN()-4&lt;=Nombre_de_bornes,COLUMN()-4,"")</f>
        <v>7</v>
      </c>
      <c r="L4" s="439">
        <f>IF(COLUMN()-4&lt;=Nombre_de_bornes,COLUMN()-4,"")</f>
        <v>8</v>
      </c>
      <c r="M4" s="439">
        <f>IF(COLUMN()-4&lt;=Nombre_de_bornes,COLUMN()-4,"")</f>
        <v>9</v>
      </c>
      <c r="N4" s="439">
        <f>IF(COLUMN()-4&lt;=Nombre_de_bornes,COLUMN()-4,"")</f>
        <v>10</v>
      </c>
      <c r="O4" s="439">
        <f>IF(COLUMN()-4&lt;=Nombre_de_bornes,COLUMN()-4,"")</f>
        <v>11</v>
      </c>
      <c r="P4" s="439">
        <f>IF(COLUMN()-4&lt;=Nombre_de_bornes,COLUMN()-4,"")</f>
        <v>12</v>
      </c>
      <c r="Q4" s="439">
        <f>IF(COLUMN()-4&lt;=Nombre_de_bornes,COLUMN()-4,"")</f>
        <v>13</v>
      </c>
      <c r="R4" s="439">
        <f>IF(COLUMN()-4&lt;=Nombre_de_bornes,COLUMN()-4,"")</f>
        <v>0</v>
      </c>
      <c r="S4" s="439">
        <f>IF(COLUMN()-4&lt;=Nombre_de_bornes,COLUMN()-4,"")</f>
        <v>0</v>
      </c>
      <c r="T4" s="440" t="s">
        <v>305</v>
      </c>
      <c r="U4" s="437" t="s">
        <v>250</v>
      </c>
      <c r="V4" s="439">
        <f>IF(COLUMN()-21&lt;=$B$3,COLUMN()-21,"")</f>
        <v>1</v>
      </c>
      <c r="W4" s="439">
        <f>IF(COLUMN()-21&lt;=$B$3,COLUMN()-21,"")</f>
        <v>2</v>
      </c>
      <c r="X4" s="439">
        <f>IF(COLUMN()-21&lt;=$B$3,COLUMN()-21,"")</f>
        <v>3</v>
      </c>
      <c r="Y4" s="439">
        <f>IF(COLUMN()-21&lt;=$B$3,COLUMN()-21,"")</f>
        <v>4</v>
      </c>
      <c r="Z4" s="439">
        <f>IF(COLUMN()-21&lt;=$B$3,COLUMN()-21,"")</f>
        <v>5</v>
      </c>
      <c r="AA4" s="439">
        <f>IF(COLUMN()-21&lt;=$B$3,COLUMN()-21,"")</f>
        <v>6</v>
      </c>
      <c r="AB4" s="439">
        <f>IF(COLUMN()-21&lt;=$B$3,COLUMN()-21,"")</f>
        <v>7</v>
      </c>
      <c r="AC4" s="439">
        <f>IF(COLUMN()-21&lt;=$B$3,COLUMN()-21,"")</f>
        <v>8</v>
      </c>
      <c r="AD4" s="439">
        <f>IF(COLUMN()-21&lt;=$B$3,COLUMN()-21,"")</f>
        <v>9</v>
      </c>
      <c r="AE4" s="439">
        <f>IF(COLUMN()-21&lt;=$B$3,COLUMN()-21,"")</f>
        <v>10</v>
      </c>
      <c r="AF4" s="439">
        <f>IF(COLUMN()-21&lt;=$B$3,COLUMN()-21,"")</f>
        <v>11</v>
      </c>
      <c r="AG4" s="439">
        <f>IF(COLUMN()-21&lt;=$B$3,COLUMN()-21,"")</f>
        <v>12</v>
      </c>
      <c r="AH4" s="439">
        <f>IF(COLUMN()-21&lt;=$B$3,COLUMN()-21,"")</f>
        <v>13</v>
      </c>
      <c r="AI4" s="439">
        <f>IF(COLUMN()-21&lt;=$B$3,COLUMN()-21,"")</f>
        <v>0</v>
      </c>
      <c r="AJ4" s="439">
        <f>IF(COLUMN()-21&lt;=$B$3,COLUMN()-21,"")</f>
        <v>0</v>
      </c>
      <c r="AK4" s="441" t="s">
        <v>306</v>
      </c>
      <c r="AL4" s="442"/>
      <c r="AM4" s="437" t="s">
        <v>241</v>
      </c>
      <c r="AN4" s="443">
        <f>Pénalités!D4</f>
        <v>0</v>
      </c>
      <c r="AO4" s="443">
        <f>Pénalités!F4</f>
        <v>0</v>
      </c>
      <c r="AP4" s="443">
        <f>Pénalités!G4</f>
        <v>0</v>
      </c>
      <c r="AQ4" s="444">
        <f>Temps_référence</f>
        <v>0.21041666666666667</v>
      </c>
      <c r="AR4" s="445"/>
      <c r="AS4" s="435"/>
      <c r="AT4" s="445"/>
    </row>
    <row r="5" spans="1:43" s="457" customFormat="1" ht="15">
      <c r="A5" s="447"/>
      <c r="B5" s="448"/>
      <c r="C5" s="449">
        <f>SUM(Excédent)</f>
        <v>0</v>
      </c>
      <c r="D5" s="449">
        <f>SUM(Manquent)</f>
        <v>1</v>
      </c>
      <c r="E5" s="450">
        <f>IF(ISNUMBER(E4),COUNTIF(Pénalités!M:M,Mal_placée)-1,"X")</f>
        <v>0</v>
      </c>
      <c r="F5" s="450">
        <f>IF(ISNUMBER(F4),COUNTIF(Pénalités!N:N,Mal_placée)-1,"X")</f>
        <v>1</v>
      </c>
      <c r="G5" s="450">
        <f>IF(ISNUMBER(G4),COUNTIF(Pénalités!O:O,Mal_placée)-1,"X")</f>
        <v>2</v>
      </c>
      <c r="H5" s="450">
        <f>IF(ISNUMBER(H4),COUNTIF(Pénalités!P:P,Mal_placée)-1,"X")</f>
        <v>4</v>
      </c>
      <c r="I5" s="450">
        <f>IF(ISNUMBER(I4),COUNTIF(Pénalités!Q:Q,Mal_placée)-1,"X")</f>
        <v>2</v>
      </c>
      <c r="J5" s="450">
        <f>IF(ISNUMBER(J4),COUNTIF(Pénalités!R:R,Mal_placée)-1,"X")</f>
        <v>1</v>
      </c>
      <c r="K5" s="450">
        <f>IF(ISNUMBER(K4),COUNTIF(Pénalités!S:S,Mal_placée)-1,"X")</f>
        <v>1</v>
      </c>
      <c r="L5" s="450">
        <f>IF(ISNUMBER(L4),COUNTIF(Pénalités!T:T,Mal_placée)-1,"X")</f>
        <v>1</v>
      </c>
      <c r="M5" s="450">
        <f>IF(ISNUMBER(M4),COUNTIF(Pénalités!U:U,Mal_placée)-1,"X")</f>
        <v>1</v>
      </c>
      <c r="N5" s="450">
        <f>IF(ISNUMBER(N4),COUNTIF(Pénalités!V:V,Mal_placée)-1,"X")</f>
        <v>0</v>
      </c>
      <c r="O5" s="450">
        <f>IF(ISNUMBER(O4),COUNTIF(Pénalités!W:W,Mal_placée)-1,"X")</f>
        <v>0</v>
      </c>
      <c r="P5" s="450">
        <f>IF(ISNUMBER(P4),COUNTIF(Pénalités!X:X,Mal_placée)-1,"X")</f>
        <v>1</v>
      </c>
      <c r="Q5" s="450">
        <f>IF(ISNUMBER(Q4),COUNTIF(Pénalités!Y:Y,Mal_placée)-1,"X")</f>
        <v>1</v>
      </c>
      <c r="R5" s="450">
        <f>IF(ISNUMBER(R4),COUNTIF(Pénalités!Z:Z,Mal_placée)-1,"X")</f>
        <v>0</v>
      </c>
      <c r="S5" s="450">
        <f>IF(ISNUMBER(S4),COUNTIF(Pénalités!AA:AA,Mal_placée)-1,"X")</f>
        <v>0</v>
      </c>
      <c r="T5" s="451">
        <f>SUM(Mal_placées)</f>
        <v>12</v>
      </c>
      <c r="U5" s="452" t="s">
        <v>248</v>
      </c>
      <c r="V5" s="453">
        <f>IF(ISNUMBER(V4),COUNTIF(Pénalités!AE:AE,Fausse)-1,"X")</f>
        <v>13</v>
      </c>
      <c r="W5" s="453">
        <f>IF(ISNUMBER(W4),COUNTIF(Pénalités!AF:AF,Fausse)-1,"X")</f>
        <v>0</v>
      </c>
      <c r="X5" s="453">
        <f>IF(ISNUMBER(X4),COUNTIF(Pénalités!AG:AG,Fausse)-1,"X")</f>
        <v>0</v>
      </c>
      <c r="Y5" s="453">
        <f>IF(ISNUMBER(Y4),COUNTIF(Pénalités!AH:AH,Fausse)-1,"X")</f>
        <v>7</v>
      </c>
      <c r="Z5" s="453">
        <f>IF(ISNUMBER(Z4),COUNTIF(Pénalités!AI:AI,Fausse)-1,"X")</f>
        <v>3</v>
      </c>
      <c r="AA5" s="453">
        <f>IF(ISNUMBER(AA4),COUNTIF(Pénalités!AJ:AJ,Fausse)-1,"X")</f>
        <v>9</v>
      </c>
      <c r="AB5" s="453">
        <f>IF(ISNUMBER(AB4),COUNTIF(Pénalités!AK:AK,Fausse)-1,"X")</f>
        <v>3</v>
      </c>
      <c r="AC5" s="453">
        <f>IF(ISNUMBER(AC4),COUNTIF(Pénalités!AL:AL,Fausse)-1,"X")</f>
        <v>1</v>
      </c>
      <c r="AD5" s="453">
        <f>IF(ISNUMBER(AD4),COUNTIF(Pénalités!AM:AM,Fausse)-1,"X")</f>
        <v>0</v>
      </c>
      <c r="AE5" s="453">
        <f>IF(ISNUMBER(AE4),COUNTIF(Pénalités!AN:AN,Fausse)-1,"X")</f>
        <v>7</v>
      </c>
      <c r="AF5" s="453">
        <f>IF(ISNUMBER(AF4),COUNTIF(Pénalités!AO:AO,Fausse)-1,"X")</f>
        <v>0</v>
      </c>
      <c r="AG5" s="453">
        <f>IF(ISNUMBER(AG4),COUNTIF(Pénalités!AP:AP,Fausse)-1,"X")</f>
        <v>2</v>
      </c>
      <c r="AH5" s="453">
        <f>IF(ISNUMBER(AH4),COUNTIF(Pénalités!AQ:AQ,Fausse)-1,"X")</f>
        <v>10</v>
      </c>
      <c r="AI5" s="453">
        <f>IF(ISNUMBER(AI4),COUNTIF(Pénalités!AR:AR,Fausse)-1,"X")</f>
        <v>0</v>
      </c>
      <c r="AJ5" s="453">
        <f>IF(ISNUMBER(AJ4),COUNTIF(Pénalités!AS:AS,Fausse)-1,"X")</f>
        <v>0</v>
      </c>
      <c r="AK5" s="454">
        <f>SUM(Fausses)</f>
        <v>53</v>
      </c>
      <c r="AL5" s="449"/>
      <c r="AM5" s="448"/>
      <c r="AN5" s="455"/>
      <c r="AO5" s="455"/>
      <c r="AP5" s="455"/>
      <c r="AQ5" s="456"/>
    </row>
    <row r="6" spans="1:43" s="457" customFormat="1" ht="15">
      <c r="A6" s="447"/>
      <c r="B6" s="448"/>
      <c r="C6" s="455"/>
      <c r="D6" s="455"/>
      <c r="E6" s="455"/>
      <c r="F6" s="455"/>
      <c r="G6" s="455"/>
      <c r="H6" s="455"/>
      <c r="I6" s="455"/>
      <c r="J6" s="455"/>
      <c r="K6" s="455"/>
      <c r="L6" s="455"/>
      <c r="M6" s="455"/>
      <c r="N6" s="455"/>
      <c r="O6" s="455"/>
      <c r="P6" s="455"/>
      <c r="Q6" s="455"/>
      <c r="R6" s="455"/>
      <c r="S6" s="455"/>
      <c r="T6" s="458"/>
      <c r="U6" s="452" t="s">
        <v>307</v>
      </c>
      <c r="V6" s="450">
        <f>IF(ISNUMBER(V4),COUNTIF(Pénalités!AE:AE,Non_répondue)-1,"X")</f>
        <v>0</v>
      </c>
      <c r="W6" s="450">
        <f>IF(ISNUMBER(W4),COUNTIF(Pénalités!AF:AF,Non_répondue)-1,"X")</f>
        <v>0</v>
      </c>
      <c r="X6" s="450">
        <f>IF(ISNUMBER(X4),COUNTIF(Pénalités!AG:AG,Non_répondue)-1,"X")</f>
        <v>0</v>
      </c>
      <c r="Y6" s="450">
        <f>IF(ISNUMBER(Y4),COUNTIF(Pénalités!AH:AH,Non_répondue)-1,"X")</f>
        <v>0</v>
      </c>
      <c r="Z6" s="450">
        <f>IF(ISNUMBER(Z4),COUNTIF(Pénalités!AI:AI,Non_répondue)-1,"X")</f>
        <v>0</v>
      </c>
      <c r="AA6" s="450">
        <f>IF(ISNUMBER(AA4),COUNTIF(Pénalités!AJ:AJ,Non_répondue)-1,"X")</f>
        <v>1</v>
      </c>
      <c r="AB6" s="450">
        <f>IF(ISNUMBER(AB4),COUNTIF(Pénalités!AK:AK,Non_répondue)-1,"X")</f>
        <v>2</v>
      </c>
      <c r="AC6" s="450">
        <f>IF(ISNUMBER(AC4),COUNTIF(Pénalités!AL:AL,Non_répondue)-1,"X")</f>
        <v>0</v>
      </c>
      <c r="AD6" s="450">
        <f>IF(ISNUMBER(AD4),COUNTIF(Pénalités!AM:AM,Non_répondue)-1,"X")</f>
        <v>0</v>
      </c>
      <c r="AE6" s="450">
        <f>IF(ISNUMBER(AE4),COUNTIF(Pénalités!AN:AN,Non_répondue)-1,"X")</f>
        <v>0</v>
      </c>
      <c r="AF6" s="450">
        <f>IF(ISNUMBER(AF4),COUNTIF(Pénalités!AO:AO,Non_répondue)-1,"X")</f>
        <v>0</v>
      </c>
      <c r="AG6" s="450">
        <f>IF(ISNUMBER(AG4),COUNTIF(Pénalités!AP:AP,Non_répondue)-1,"X")</f>
        <v>0</v>
      </c>
      <c r="AH6" s="450">
        <f>IF(ISNUMBER(AH4),COUNTIF(Pénalités!AQ:AQ,Non_répondue)-1,"X")</f>
        <v>0</v>
      </c>
      <c r="AI6" s="450">
        <f>IF(ISNUMBER(AI4),COUNTIF(Pénalités!AR:AR,Non_répondue)-1,"X")</f>
        <v>0</v>
      </c>
      <c r="AJ6" s="450">
        <f>IF(ISNUMBER(AJ4),COUNTIF(Pénalités!AS:AS,Non_répondue)-1,"X")</f>
        <v>0</v>
      </c>
      <c r="AK6" s="459">
        <f>SUM(Non_répondues)</f>
        <v>1</v>
      </c>
      <c r="AL6" s="449"/>
      <c r="AM6" s="448"/>
      <c r="AN6" s="455"/>
      <c r="AO6" s="455"/>
      <c r="AP6" s="455"/>
      <c r="AQ6" s="456"/>
    </row>
    <row r="7" spans="1:45" s="457" customFormat="1" ht="15">
      <c r="A7" s="460" t="s">
        <v>308</v>
      </c>
      <c r="B7" s="461">
        <f>MIN(Pénalités_bornes)</f>
        <v>0</v>
      </c>
      <c r="C7" s="462">
        <f>MIN(Excédent)</f>
        <v>0</v>
      </c>
      <c r="D7" s="462">
        <f>MIN(Manquent)</f>
        <v>0</v>
      </c>
      <c r="E7" s="455"/>
      <c r="F7" s="455"/>
      <c r="G7" s="455"/>
      <c r="H7" s="455"/>
      <c r="I7" s="455"/>
      <c r="J7" s="455"/>
      <c r="K7" s="455"/>
      <c r="L7" s="455"/>
      <c r="M7" s="455"/>
      <c r="N7" s="455"/>
      <c r="O7" s="455"/>
      <c r="P7" s="455"/>
      <c r="Q7" s="455"/>
      <c r="R7" s="455"/>
      <c r="S7" s="455"/>
      <c r="T7" s="453">
        <f>MIN(E5:S5)</f>
        <v>0</v>
      </c>
      <c r="U7" s="461">
        <f>MIN(Pénalités_ACM)</f>
        <v>10</v>
      </c>
      <c r="V7" s="455"/>
      <c r="W7" s="455"/>
      <c r="X7" s="455"/>
      <c r="Y7" s="455"/>
      <c r="Z7" s="455"/>
      <c r="AA7" s="455"/>
      <c r="AB7" s="455"/>
      <c r="AC7" s="455"/>
      <c r="AD7" s="455"/>
      <c r="AE7" s="455"/>
      <c r="AF7" s="455"/>
      <c r="AG7" s="455"/>
      <c r="AH7" s="455"/>
      <c r="AI7" s="455"/>
      <c r="AJ7" s="455"/>
      <c r="AK7" s="463">
        <f>MIN(V5:AJ5)</f>
        <v>0</v>
      </c>
      <c r="AL7" s="453"/>
      <c r="AM7" s="461">
        <f>MIN(Pénalités_temps)</f>
        <v>1</v>
      </c>
      <c r="AN7" s="464">
        <f>MIN(Temps_cible)</f>
        <v>0.1875</v>
      </c>
      <c r="AO7" s="464">
        <f>MIN(Temps_réel)</f>
        <v>0.1875</v>
      </c>
      <c r="AP7" s="465">
        <f>MIN(écart_réel_cible)/1440</f>
        <v>0</v>
      </c>
      <c r="AQ7" s="466">
        <f>MIN(écart_cible_référence)/1440</f>
        <v>0.0006944444444444445</v>
      </c>
      <c r="AS7" s="467">
        <f>MIN(Total_pénalités)</f>
        <v>12</v>
      </c>
    </row>
    <row r="8" spans="1:45" s="457" customFormat="1" ht="15">
      <c r="A8" s="468" t="s">
        <v>309</v>
      </c>
      <c r="B8" s="469">
        <f>MAX(Pénalités_bornes)</f>
        <v>40</v>
      </c>
      <c r="C8" s="462">
        <f>MAX(Excédent)</f>
        <v>0</v>
      </c>
      <c r="D8" s="462">
        <f>MAX(Manquent)</f>
        <v>1</v>
      </c>
      <c r="E8" s="455"/>
      <c r="F8" s="455"/>
      <c r="G8" s="455"/>
      <c r="H8" s="455"/>
      <c r="I8" s="455"/>
      <c r="J8" s="455"/>
      <c r="K8" s="455"/>
      <c r="L8" s="455"/>
      <c r="M8" s="455"/>
      <c r="N8" s="455"/>
      <c r="O8" s="455"/>
      <c r="P8" s="455"/>
      <c r="Q8" s="455"/>
      <c r="R8" s="455"/>
      <c r="S8" s="455"/>
      <c r="T8" s="470">
        <f>MAX(E5:S5)</f>
        <v>4</v>
      </c>
      <c r="U8" s="469">
        <f>MAX(Pénalités_ACM)</f>
        <v>40</v>
      </c>
      <c r="V8" s="455"/>
      <c r="W8" s="455"/>
      <c r="X8" s="455"/>
      <c r="Y8" s="455"/>
      <c r="Z8" s="455"/>
      <c r="AA8" s="455"/>
      <c r="AB8" s="455"/>
      <c r="AC8" s="455"/>
      <c r="AD8" s="455"/>
      <c r="AE8" s="455"/>
      <c r="AF8" s="455"/>
      <c r="AG8" s="455"/>
      <c r="AH8" s="455"/>
      <c r="AI8" s="455"/>
      <c r="AJ8" s="455"/>
      <c r="AK8" s="471">
        <f>MAX(V5:AJ5)</f>
        <v>13</v>
      </c>
      <c r="AL8" s="453"/>
      <c r="AM8" s="469">
        <f>MAX(Pénalités_temps)</f>
        <v>40</v>
      </c>
      <c r="AN8" s="472">
        <f>MAX(Temps_cible)</f>
        <v>0.22916666666666666</v>
      </c>
      <c r="AO8" s="472">
        <f>MAX(Temps_réel)</f>
        <v>0.23819444444444443</v>
      </c>
      <c r="AP8" s="473">
        <f>MAX(écart_réel_cible)/1440</f>
        <v>0.02013888888888889</v>
      </c>
      <c r="AQ8" s="474">
        <f>MAX(écart_cible_référence)/1440</f>
        <v>0.022916666666666665</v>
      </c>
      <c r="AS8" s="475">
        <f>MAX(Total_pénalités)</f>
        <v>94</v>
      </c>
    </row>
    <row r="9" spans="1:45" s="485" customFormat="1" ht="15">
      <c r="A9" s="476" t="s">
        <v>310</v>
      </c>
      <c r="B9" s="477">
        <f>AVERAGE(Pénalités_bornes)</f>
        <v>9.23076923076923</v>
      </c>
      <c r="C9" s="478">
        <f>AVERAGE(Excédent)</f>
        <v>0</v>
      </c>
      <c r="D9" s="478">
        <f>AVERAGE(Manquent)</f>
        <v>0.07692307692307693</v>
      </c>
      <c r="E9" s="479"/>
      <c r="F9" s="479"/>
      <c r="G9" s="479"/>
      <c r="H9" s="479"/>
      <c r="I9" s="479"/>
      <c r="J9" s="479"/>
      <c r="K9" s="479"/>
      <c r="L9" s="479"/>
      <c r="M9" s="479"/>
      <c r="N9" s="479"/>
      <c r="O9" s="479"/>
      <c r="P9" s="479"/>
      <c r="Q9" s="479"/>
      <c r="R9" s="479"/>
      <c r="S9" s="479"/>
      <c r="T9" s="480">
        <f>AVERAGE(E5:S5)</f>
        <v>1.1538461538461537</v>
      </c>
      <c r="U9" s="477">
        <f>AVERAGE(Pénalités_ACM)</f>
        <v>21.923076923076923</v>
      </c>
      <c r="V9" s="479"/>
      <c r="W9" s="479"/>
      <c r="X9" s="479"/>
      <c r="Y9" s="479"/>
      <c r="Z9" s="479"/>
      <c r="AA9" s="479"/>
      <c r="AB9" s="479"/>
      <c r="AC9" s="479"/>
      <c r="AD9" s="479"/>
      <c r="AE9" s="479"/>
      <c r="AF9" s="479"/>
      <c r="AG9" s="479"/>
      <c r="AH9" s="479"/>
      <c r="AI9" s="479"/>
      <c r="AJ9" s="479"/>
      <c r="AK9" s="481">
        <f>AVERAGE(V5:AJ5)</f>
        <v>4.230769230769231</v>
      </c>
      <c r="AL9" s="453"/>
      <c r="AM9" s="477">
        <f>AVERAGE(Pénalités_temps)</f>
        <v>14.846153846153847</v>
      </c>
      <c r="AN9" s="482">
        <f>AVERAGE(Temps_cible)</f>
        <v>0.21291666666666667</v>
      </c>
      <c r="AO9" s="482">
        <f>AVERAGE(Temps_réel)</f>
        <v>0.21538461538461537</v>
      </c>
      <c r="AP9" s="483">
        <f>AVERAGE(écart_réel_cible)/1440</f>
        <v>0.0030448717948717953</v>
      </c>
      <c r="AQ9" s="484">
        <f>AVERAGE(écart_cible_référence)/1440</f>
        <v>0.007264957264957265</v>
      </c>
      <c r="AS9" s="486">
        <f>AVERAGE(Total_pénalités)</f>
        <v>46</v>
      </c>
    </row>
    <row r="10" spans="1:45" s="420" customFormat="1" ht="15">
      <c r="A10" s="487" t="s">
        <v>311</v>
      </c>
      <c r="B10" s="488">
        <f>SUM(Pénalités_bornes)</f>
        <v>120</v>
      </c>
      <c r="C10" s="455"/>
      <c r="D10" s="455"/>
      <c r="E10" s="455"/>
      <c r="F10" s="455"/>
      <c r="G10" s="455"/>
      <c r="H10" s="455"/>
      <c r="I10" s="455"/>
      <c r="J10" s="455"/>
      <c r="K10" s="455"/>
      <c r="L10" s="455"/>
      <c r="M10" s="455"/>
      <c r="N10" s="455"/>
      <c r="O10" s="455"/>
      <c r="P10" s="455"/>
      <c r="Q10" s="455"/>
      <c r="R10" s="455"/>
      <c r="S10" s="455"/>
      <c r="T10" s="455"/>
      <c r="U10" s="488">
        <f>SUM(Pénalités_ACM)</f>
        <v>285</v>
      </c>
      <c r="V10" s="455"/>
      <c r="W10" s="455"/>
      <c r="X10" s="455"/>
      <c r="Y10" s="455"/>
      <c r="Z10" s="455"/>
      <c r="AA10" s="455"/>
      <c r="AB10" s="455"/>
      <c r="AC10" s="455"/>
      <c r="AD10" s="455"/>
      <c r="AE10" s="455"/>
      <c r="AF10" s="455"/>
      <c r="AG10" s="455"/>
      <c r="AH10" s="455"/>
      <c r="AI10" s="455"/>
      <c r="AJ10" s="455"/>
      <c r="AK10" s="456"/>
      <c r="AL10" s="453"/>
      <c r="AM10" s="488">
        <f>SUM(Pénalités_temps)</f>
        <v>193</v>
      </c>
      <c r="AN10" s="455"/>
      <c r="AO10" s="455"/>
      <c r="AP10" s="455"/>
      <c r="AQ10" s="456"/>
      <c r="AS10" s="489">
        <f>SUM(Total_pénalités)</f>
        <v>598</v>
      </c>
    </row>
    <row r="11" spans="1:43" s="420" customFormat="1" ht="15.75">
      <c r="A11" s="490" t="s">
        <v>312</v>
      </c>
      <c r="B11" s="491">
        <f>B10/$AS10</f>
        <v>0.20066889632107024</v>
      </c>
      <c r="C11" s="492"/>
      <c r="D11" s="492"/>
      <c r="E11" s="492"/>
      <c r="F11" s="492"/>
      <c r="G11" s="492"/>
      <c r="H11" s="492"/>
      <c r="I11" s="492"/>
      <c r="J11" s="492"/>
      <c r="K11" s="492"/>
      <c r="L11" s="492"/>
      <c r="M11" s="492"/>
      <c r="N11" s="492"/>
      <c r="O11" s="492"/>
      <c r="P11" s="492"/>
      <c r="Q11" s="492"/>
      <c r="R11" s="492"/>
      <c r="S11" s="492"/>
      <c r="T11" s="492"/>
      <c r="U11" s="491">
        <f>U10/$AS10</f>
        <v>0.4765886287625418</v>
      </c>
      <c r="V11" s="492"/>
      <c r="W11" s="492"/>
      <c r="X11" s="492"/>
      <c r="Y11" s="492"/>
      <c r="Z11" s="492"/>
      <c r="AA11" s="492"/>
      <c r="AB11" s="492"/>
      <c r="AC11" s="492"/>
      <c r="AD11" s="492"/>
      <c r="AE11" s="492"/>
      <c r="AF11" s="492"/>
      <c r="AG11" s="492"/>
      <c r="AH11" s="492"/>
      <c r="AI11" s="492"/>
      <c r="AJ11" s="492"/>
      <c r="AK11" s="493" t="s">
        <v>97</v>
      </c>
      <c r="AL11" s="453"/>
      <c r="AM11" s="491">
        <f>AM10/$AS10</f>
        <v>0.32274247491638797</v>
      </c>
      <c r="AN11" s="492"/>
      <c r="AO11" s="492"/>
      <c r="AP11" s="492"/>
      <c r="AQ11" s="493"/>
    </row>
    <row r="12" spans="5:43" s="420" customFormat="1" ht="15" customHeight="1">
      <c r="E12" s="494"/>
      <c r="F12" s="494"/>
      <c r="G12" s="494"/>
      <c r="H12" s="494"/>
      <c r="I12" s="494"/>
      <c r="J12" s="494"/>
      <c r="K12" s="494"/>
      <c r="L12" s="494"/>
      <c r="M12" s="494"/>
      <c r="N12" s="494"/>
      <c r="O12" s="494"/>
      <c r="P12" s="494"/>
      <c r="Q12" s="494"/>
      <c r="R12" s="494"/>
      <c r="S12" s="494"/>
      <c r="T12" s="494"/>
      <c r="V12" s="494"/>
      <c r="W12" s="494"/>
      <c r="X12" s="494"/>
      <c r="Y12" s="494"/>
      <c r="Z12" s="494"/>
      <c r="AA12" s="494"/>
      <c r="AB12" s="494"/>
      <c r="AC12" s="494"/>
      <c r="AD12" s="494"/>
      <c r="AE12" s="494"/>
      <c r="AF12" s="494"/>
      <c r="AG12" s="494"/>
      <c r="AH12" s="494"/>
      <c r="AI12" s="494"/>
      <c r="AJ12" s="494"/>
      <c r="AL12" s="495" t="s">
        <v>313</v>
      </c>
      <c r="AM12" s="496" t="s">
        <v>310</v>
      </c>
      <c r="AN12" s="497">
        <f aca="true" t="shared" si="0" ref="AN12:AN13">COUNTIF(Temps_cible,CONCATENATE($AL12,AN$9))</f>
        <v>7</v>
      </c>
      <c r="AO12" s="497">
        <f aca="true" t="shared" si="1" ref="AO12:AO13">COUNTIF(Temps_réel,CONCATENATE($AL12,AO$9))</f>
        <v>7</v>
      </c>
      <c r="AP12" s="497">
        <f aca="true" t="shared" si="2" ref="AP12:AP13">COUNTIF(écart_réel_cible,CONCATENATE($AL12,AP$9))</f>
        <v>9</v>
      </c>
      <c r="AQ12" s="498">
        <f aca="true" t="shared" si="3" ref="AQ12:AQ13">COUNTIF(écart_cible_référence,CONCATENATE($AL12,AQ$9))</f>
        <v>0</v>
      </c>
    </row>
    <row r="13" spans="5:43" s="420" customFormat="1" ht="15">
      <c r="E13" s="494"/>
      <c r="F13" s="494"/>
      <c r="G13" s="494"/>
      <c r="H13" s="494"/>
      <c r="I13" s="494"/>
      <c r="J13" s="494"/>
      <c r="K13" s="494"/>
      <c r="L13" s="494"/>
      <c r="M13" s="494"/>
      <c r="N13" s="494"/>
      <c r="O13" s="494"/>
      <c r="P13" s="494"/>
      <c r="Q13" s="494"/>
      <c r="R13" s="494"/>
      <c r="S13" s="494"/>
      <c r="T13" s="494"/>
      <c r="V13" s="494"/>
      <c r="W13" s="494"/>
      <c r="X13" s="494"/>
      <c r="Y13" s="494"/>
      <c r="Z13" s="494"/>
      <c r="AA13" s="494"/>
      <c r="AB13" s="494"/>
      <c r="AC13" s="494"/>
      <c r="AD13" s="494"/>
      <c r="AE13" s="494"/>
      <c r="AF13" s="494"/>
      <c r="AG13" s="494"/>
      <c r="AH13" s="494"/>
      <c r="AI13" s="494"/>
      <c r="AJ13" s="494"/>
      <c r="AL13" s="499" t="s">
        <v>314</v>
      </c>
      <c r="AM13" s="496"/>
      <c r="AN13" s="500">
        <f t="shared" si="0"/>
        <v>8</v>
      </c>
      <c r="AO13" s="500">
        <f t="shared" si="1"/>
        <v>6</v>
      </c>
      <c r="AP13" s="500">
        <f t="shared" si="2"/>
        <v>4</v>
      </c>
      <c r="AQ13" s="501">
        <f t="shared" si="3"/>
        <v>13</v>
      </c>
    </row>
    <row r="14" spans="5:41" s="420" customFormat="1" ht="15" customHeight="1">
      <c r="E14" s="494"/>
      <c r="F14" s="494"/>
      <c r="G14" s="494"/>
      <c r="H14" s="494"/>
      <c r="I14" s="494"/>
      <c r="J14" s="494"/>
      <c r="K14" s="494"/>
      <c r="L14" s="494"/>
      <c r="M14" s="494"/>
      <c r="N14" s="494"/>
      <c r="O14" s="494"/>
      <c r="P14" s="494"/>
      <c r="Q14" s="494"/>
      <c r="R14" s="494"/>
      <c r="S14" s="494"/>
      <c r="T14" s="494"/>
      <c r="V14" s="494"/>
      <c r="W14" s="494"/>
      <c r="X14" s="494"/>
      <c r="Y14" s="494"/>
      <c r="Z14" s="494"/>
      <c r="AA14" s="494"/>
      <c r="AB14" s="494"/>
      <c r="AC14" s="494"/>
      <c r="AD14" s="494"/>
      <c r="AE14" s="494"/>
      <c r="AF14" s="494"/>
      <c r="AG14" s="494"/>
      <c r="AH14" s="494"/>
      <c r="AI14" s="494"/>
      <c r="AJ14" s="494"/>
      <c r="AL14" s="502" t="s">
        <v>313</v>
      </c>
      <c r="AM14" s="503" t="s">
        <v>315</v>
      </c>
      <c r="AN14" s="504">
        <f aca="true" t="shared" si="4" ref="AN14:AN16">COUNTIF(Temps_cible,CONCATENATE($AL14,$AQ$4))</f>
        <v>6</v>
      </c>
      <c r="AO14" s="505">
        <f aca="true" t="shared" si="5" ref="AO14:AO16">COUNTIF(Temps_réel,CONCATENATE($AL14,$AQ$4))</f>
        <v>5</v>
      </c>
    </row>
    <row r="15" spans="5:41" s="420" customFormat="1" ht="15">
      <c r="E15" s="494"/>
      <c r="F15" s="494"/>
      <c r="G15" s="494"/>
      <c r="H15" s="494"/>
      <c r="I15" s="494"/>
      <c r="J15" s="494"/>
      <c r="K15" s="494"/>
      <c r="L15" s="494"/>
      <c r="M15" s="494"/>
      <c r="N15" s="494"/>
      <c r="O15" s="494"/>
      <c r="P15" s="494"/>
      <c r="Q15" s="494"/>
      <c r="R15" s="494"/>
      <c r="S15" s="494"/>
      <c r="T15" s="494"/>
      <c r="V15" s="494"/>
      <c r="W15" s="494"/>
      <c r="X15" s="494"/>
      <c r="Y15" s="494"/>
      <c r="Z15" s="494"/>
      <c r="AA15" s="494"/>
      <c r="AB15" s="494"/>
      <c r="AC15" s="494"/>
      <c r="AD15" s="494"/>
      <c r="AE15" s="494"/>
      <c r="AF15" s="494"/>
      <c r="AG15" s="494"/>
      <c r="AH15" s="494"/>
      <c r="AI15" s="494"/>
      <c r="AJ15" s="494"/>
      <c r="AL15" s="506" t="s">
        <v>316</v>
      </c>
      <c r="AM15" s="503"/>
      <c r="AN15" s="507">
        <f t="shared" si="4"/>
        <v>0</v>
      </c>
      <c r="AO15" s="508">
        <f t="shared" si="5"/>
        <v>0</v>
      </c>
    </row>
    <row r="16" spans="5:41" s="420" customFormat="1" ht="15">
      <c r="E16" s="494"/>
      <c r="F16" s="494"/>
      <c r="G16" s="494"/>
      <c r="H16" s="494"/>
      <c r="I16" s="494"/>
      <c r="J16" s="494"/>
      <c r="K16" s="494"/>
      <c r="L16" s="494"/>
      <c r="M16" s="494"/>
      <c r="N16" s="494"/>
      <c r="O16" s="494"/>
      <c r="P16" s="494"/>
      <c r="Q16" s="494"/>
      <c r="R16" s="494"/>
      <c r="S16" s="494"/>
      <c r="T16" s="494"/>
      <c r="V16" s="494"/>
      <c r="W16" s="494"/>
      <c r="X16" s="494"/>
      <c r="Y16" s="494"/>
      <c r="Z16" s="494"/>
      <c r="AA16" s="494"/>
      <c r="AB16" s="494"/>
      <c r="AC16" s="494"/>
      <c r="AD16" s="494"/>
      <c r="AE16" s="494"/>
      <c r="AF16" s="494"/>
      <c r="AG16" s="494"/>
      <c r="AH16" s="494"/>
      <c r="AI16" s="494"/>
      <c r="AJ16" s="494"/>
      <c r="AL16" s="509" t="s">
        <v>317</v>
      </c>
      <c r="AM16" s="503"/>
      <c r="AN16" s="510">
        <f t="shared" si="4"/>
        <v>9</v>
      </c>
      <c r="AO16" s="511">
        <f t="shared" si="5"/>
        <v>8</v>
      </c>
    </row>
    <row r="17" spans="37:41" ht="15">
      <c r="AK17" s="421"/>
      <c r="AL17" s="512" t="s">
        <v>313</v>
      </c>
      <c r="AM17" s="513">
        <f>Temps_référence_min</f>
        <v>0.19791666666666666</v>
      </c>
      <c r="AN17" s="514">
        <f>COUNTIF(Temps_cible,CONCATENATE($AL17,$AM17))</f>
        <v>1</v>
      </c>
      <c r="AO17" s="515">
        <f>COUNTIF(Temps_réel,CONCATENATE($AL17,$AM17))</f>
        <v>1</v>
      </c>
    </row>
    <row r="18" spans="37:41" ht="15">
      <c r="AK18" s="421"/>
      <c r="AL18" s="516" t="s">
        <v>318</v>
      </c>
      <c r="AM18" s="516"/>
      <c r="AN18" s="517">
        <f>COUNTIF(Dossard,"&gt;0")-SUM(AN17,AN19)</f>
        <v>12</v>
      </c>
      <c r="AO18" s="518">
        <f>COUNTIF(Dossard,"&gt;0")-SUM(AO17,AO19)</f>
        <v>12</v>
      </c>
    </row>
    <row r="19" spans="37:41" ht="15">
      <c r="AK19" s="421"/>
      <c r="AL19" s="519" t="s">
        <v>317</v>
      </c>
      <c r="AM19" s="520">
        <f>Temps_référence_max</f>
        <v>0.23958333333333334</v>
      </c>
      <c r="AN19" s="521">
        <f>COUNTIF(Temps_cible,CONCATENATE($AL19,$AM19))</f>
        <v>0</v>
      </c>
      <c r="AO19" s="522">
        <f>COUNTIF(Temps_réel,CONCATENATE($AL19,$AM19))</f>
        <v>0</v>
      </c>
    </row>
  </sheetData>
  <sheetProtection password="88A3" sheet="1" objects="1" scenarios="1"/>
  <mergeCells count="8">
    <mergeCell ref="A3:A4"/>
    <mergeCell ref="B3:T3"/>
    <mergeCell ref="U3:AK3"/>
    <mergeCell ref="AM3:AQ3"/>
    <mergeCell ref="AS3:AS4"/>
    <mergeCell ref="AM12:AM13"/>
    <mergeCell ref="AM14:AM16"/>
    <mergeCell ref="AL18:AM18"/>
  </mergeCells>
  <conditionalFormatting sqref="V5:AJ6">
    <cfRule type="cellIs" priority="1" dxfId="29" operator="equal" stopIfTrue="1">
      <formula>"X"</formula>
    </cfRule>
  </conditionalFormatting>
  <conditionalFormatting sqref="E4:S4">
    <cfRule type="cellIs" priority="2" dxfId="30" operator="greaterThan" stopIfTrue="1">
      <formula>$B$3</formula>
    </cfRule>
  </conditionalFormatting>
  <conditionalFormatting sqref="E5:S5">
    <cfRule type="cellIs" priority="3" dxfId="29" operator="equal" stopIfTrue="1">
      <formula>"X"</formula>
    </cfRule>
    <cfRule type="cellIs" priority="4" dxfId="9" operator="equal" stopIfTrue="1">
      <formula>$T$8</formula>
    </cfRule>
    <cfRule type="cellIs" priority="5" dxfId="31" operator="greaterThan" stopIfTrue="1">
      <formula>$T$9</formula>
    </cfRule>
  </conditionalFormatting>
  <conditionalFormatting sqref="V5:AJ5">
    <cfRule type="cellIs" priority="6" dxfId="19" operator="equal" stopIfTrue="1">
      <formula>$AK$8</formula>
    </cfRule>
    <cfRule type="cellIs" priority="7" dxfId="31" operator="greaterThanOrEqual" stopIfTrue="1">
      <formula>$AK$9</formula>
    </cfRule>
  </conditionalFormatting>
  <printOptions/>
  <pageMargins left="0.39375" right="0.39375" top="0.7868055555555555" bottom="0.39375" header="0.19652777777777777" footer="0.5118055555555555"/>
  <pageSetup firstPageNumber="1" useFirstPageNumber="1" fitToWidth="0" fitToHeight="1" horizontalDpi="300" verticalDpi="300" orientation="landscape" pageOrder="overThenDown" paperSize="9"/>
  <headerFooter alignWithMargins="0">
    <oddHeader>&amp;L&amp;F&amp;R&amp;A (&amp;P)</oddHeader>
  </headerFooter>
  <colBreaks count="2" manualBreakCount="2">
    <brk id="20" max="65535" man="1"/>
    <brk id="37" max="65535" man="1"/>
  </colBreaks>
</worksheet>
</file>

<file path=xl/worksheets/sheet12.xml><?xml version="1.0" encoding="utf-8"?>
<worksheet xmlns="http://schemas.openxmlformats.org/spreadsheetml/2006/main" xmlns:r="http://schemas.openxmlformats.org/officeDocument/2006/relationships">
  <dimension ref="A1:B9"/>
  <sheetViews>
    <sheetView zoomScale="90" zoomScaleNormal="90" zoomScaleSheetLayoutView="100" workbookViewId="0" topLeftCell="A1">
      <pane ySplit="1" topLeftCell="A2" activePane="bottomLeft" state="frozen"/>
      <selection pane="topLeft" activeCell="A1" sqref="A1"/>
      <selection pane="bottomLeft" activeCell="B9" sqref="B9"/>
    </sheetView>
  </sheetViews>
  <sheetFormatPr defaultColWidth="9.140625" defaultRowHeight="15"/>
  <cols>
    <col min="1" max="1" width="4.8515625" style="523" customWidth="1"/>
    <col min="2" max="2" width="91.8515625" style="524" customWidth="1"/>
    <col min="3" max="16384" width="11.00390625" style="0" customWidth="1"/>
  </cols>
  <sheetData>
    <row r="1" spans="1:2" s="527" customFormat="1" ht="39.75" customHeight="1">
      <c r="A1" s="525" t="s">
        <v>319</v>
      </c>
      <c r="B1" s="526" t="s">
        <v>320</v>
      </c>
    </row>
    <row r="2" spans="1:2" ht="15">
      <c r="A2" s="528">
        <v>50</v>
      </c>
      <c r="B2" s="529" t="s">
        <v>321</v>
      </c>
    </row>
    <row r="3" spans="1:2" ht="15">
      <c r="A3" s="528"/>
      <c r="B3" s="530" t="s">
        <v>322</v>
      </c>
    </row>
    <row r="4" spans="1:2" ht="15">
      <c r="A4" s="528"/>
      <c r="B4" s="530" t="s">
        <v>323</v>
      </c>
    </row>
    <row r="5" spans="1:2" ht="15">
      <c r="A5" s="528"/>
      <c r="B5" s="530" t="s">
        <v>324</v>
      </c>
    </row>
    <row r="6" spans="1:2" ht="60">
      <c r="A6" s="528"/>
      <c r="B6" s="530" t="s">
        <v>325</v>
      </c>
    </row>
    <row r="7" spans="1:2" ht="30">
      <c r="A7" s="528"/>
      <c r="B7" s="531" t="s">
        <v>326</v>
      </c>
    </row>
    <row r="8" spans="1:2" ht="15">
      <c r="A8" s="532">
        <v>51</v>
      </c>
      <c r="B8" s="533" t="s">
        <v>327</v>
      </c>
    </row>
    <row r="9" spans="1:2" ht="15">
      <c r="A9" s="534">
        <v>52</v>
      </c>
      <c r="B9" s="535" t="s">
        <v>328</v>
      </c>
    </row>
  </sheetData>
  <sheetProtection password="88A3" sheet="1" objects="1" scenarios="1" autoFilter="0"/>
  <mergeCells count="1">
    <mergeCell ref="A2:A7"/>
  </mergeCells>
  <printOptions gridLines="1" horizontalCentered="1"/>
  <pageMargins left="0.39375" right="0.39375" top="0.7868055555555555" bottom="0.39375" header="0.19652777777777777" footer="0.5118055555555555"/>
  <pageSetup horizontalDpi="300" verticalDpi="300" orientation="portrait" paperSize="9" scale="85"/>
  <headerFooter alignWithMargins="0">
    <oddHeader>&amp;L&amp;F&amp;R&amp;A</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H106"/>
  <sheetViews>
    <sheetView zoomScale="90" zoomScaleNormal="90" workbookViewId="0" topLeftCell="A1">
      <pane ySplit="1" topLeftCell="A2" activePane="bottomLeft" state="frozen"/>
      <selection pane="topLeft" activeCell="A1" sqref="A1"/>
      <selection pane="bottomLeft" activeCell="E2" sqref="E2"/>
    </sheetView>
  </sheetViews>
  <sheetFormatPr defaultColWidth="9.140625" defaultRowHeight="15"/>
  <cols>
    <col min="1" max="1" width="23.8515625" style="536" customWidth="1"/>
    <col min="2" max="2" width="16.00390625" style="3" customWidth="1"/>
    <col min="3" max="3" width="12.28125" style="537" customWidth="1"/>
    <col min="4" max="4" width="5.7109375" style="1" customWidth="1"/>
    <col min="5" max="5" width="8.421875" style="1" customWidth="1"/>
    <col min="6" max="6" width="86.57421875" style="536" customWidth="1"/>
    <col min="7" max="7" width="20.57421875" style="538" customWidth="1"/>
    <col min="8" max="16384" width="11.421875" style="538" customWidth="1"/>
  </cols>
  <sheetData>
    <row r="1" spans="1:6" s="543" customFormat="1" ht="15.75">
      <c r="A1" s="539" t="s">
        <v>329</v>
      </c>
      <c r="B1" s="540" t="s">
        <v>330</v>
      </c>
      <c r="C1" s="541" t="s">
        <v>331</v>
      </c>
      <c r="D1" s="542" t="s">
        <v>332</v>
      </c>
      <c r="E1" s="542" t="s">
        <v>333</v>
      </c>
      <c r="F1" s="540" t="s">
        <v>334</v>
      </c>
    </row>
    <row r="2" spans="1:6" ht="15">
      <c r="A2" s="544" t="s">
        <v>335</v>
      </c>
      <c r="B2" s="545"/>
      <c r="C2" s="545" t="s">
        <v>335</v>
      </c>
      <c r="D2" s="546">
        <f aca="true" ca="1" t="shared" si="0" ref="D2:D4">ROW(INDIRECT(A2))</f>
        <v>1</v>
      </c>
      <c r="E2" s="546">
        <f aca="true" ca="1" t="shared" si="1" ref="E2:E4">COLUMN(INDIRECT(A2))</f>
        <v>1</v>
      </c>
      <c r="F2" s="547" t="s">
        <v>336</v>
      </c>
    </row>
    <row r="3" spans="1:6" ht="15">
      <c r="A3" s="548" t="s">
        <v>337</v>
      </c>
      <c r="B3" s="549">
        <f ca="1">INDIRECT(A3)</f>
        <v>6</v>
      </c>
      <c r="C3" s="550" t="s">
        <v>335</v>
      </c>
      <c r="D3" s="546">
        <f ca="1" t="shared" si="0"/>
        <v>2</v>
      </c>
      <c r="E3" s="546">
        <f ca="1" t="shared" si="1"/>
        <v>66</v>
      </c>
      <c r="F3" s="551" t="s">
        <v>338</v>
      </c>
    </row>
    <row r="4" spans="1:6" ht="15.75">
      <c r="A4" s="548" t="s">
        <v>339</v>
      </c>
      <c r="B4" s="552"/>
      <c r="C4" s="550" t="s">
        <v>335</v>
      </c>
      <c r="D4" s="546">
        <f ca="1" t="shared" si="0"/>
        <v>2</v>
      </c>
      <c r="E4" s="546">
        <f ca="1" t="shared" si="1"/>
        <v>1</v>
      </c>
      <c r="F4" s="551" t="s">
        <v>340</v>
      </c>
    </row>
    <row r="5" spans="1:8" ht="15">
      <c r="A5" s="544" t="s">
        <v>341</v>
      </c>
      <c r="B5" s="545"/>
      <c r="C5" s="545" t="s">
        <v>342</v>
      </c>
      <c r="D5" s="546"/>
      <c r="E5" s="546"/>
      <c r="F5" s="547"/>
      <c r="G5" s="553"/>
      <c r="H5" s="553"/>
    </row>
    <row r="6" spans="1:8" ht="15">
      <c r="A6" s="554" t="s">
        <v>343</v>
      </c>
      <c r="B6" s="555">
        <f ca="1" t="shared" si="2" ref="B6:B22">INDIRECT(A6)</f>
        <v>0.10416666666666667</v>
      </c>
      <c r="C6" s="556" t="s">
        <v>341</v>
      </c>
      <c r="D6" s="557">
        <f aca="true" ca="1" t="shared" si="3" ref="D6:D28">ROW(INDIRECT(A6))</f>
        <v>14</v>
      </c>
      <c r="E6" s="557">
        <f aca="true" ca="1" t="shared" si="4" ref="E6:E49">COLUMN(INDIRECT(A6))</f>
        <v>3</v>
      </c>
      <c r="F6" s="558" t="s">
        <v>344</v>
      </c>
      <c r="G6" s="553"/>
      <c r="H6" s="553"/>
    </row>
    <row r="7" spans="1:8" ht="15">
      <c r="A7" s="559" t="s">
        <v>345</v>
      </c>
      <c r="B7" s="560">
        <f ca="1" t="shared" si="2"/>
        <v>20</v>
      </c>
      <c r="C7" s="556" t="s">
        <v>341</v>
      </c>
      <c r="D7" s="557">
        <f ca="1" t="shared" si="3"/>
        <v>10</v>
      </c>
      <c r="E7" s="557">
        <f ca="1" t="shared" si="4"/>
        <v>3</v>
      </c>
      <c r="F7" s="558" t="s">
        <v>346</v>
      </c>
      <c r="G7" s="553"/>
      <c r="H7" s="553"/>
    </row>
    <row r="8" spans="1:8" ht="15">
      <c r="A8" s="559" t="s">
        <v>347</v>
      </c>
      <c r="B8" s="560">
        <f ca="1" t="shared" si="2"/>
        <v>16</v>
      </c>
      <c r="C8" s="556" t="s">
        <v>341</v>
      </c>
      <c r="D8" s="557">
        <f ca="1" t="shared" si="3"/>
        <v>10</v>
      </c>
      <c r="E8" s="557">
        <f ca="1" t="shared" si="4"/>
        <v>2</v>
      </c>
      <c r="F8" s="558" t="s">
        <v>348</v>
      </c>
      <c r="G8" s="553"/>
      <c r="H8" s="553"/>
    </row>
    <row r="9" spans="1:8" ht="15">
      <c r="A9" s="554" t="s">
        <v>349</v>
      </c>
      <c r="B9" s="561" t="e">
        <f ca="1" t="shared" si="2"/>
        <v>#REF!</v>
      </c>
      <c r="C9" s="556" t="s">
        <v>341</v>
      </c>
      <c r="D9" s="557" t="e">
        <f ca="1" t="shared" si="3"/>
        <v>#REF!</v>
      </c>
      <c r="E9" s="557" t="e">
        <f ca="1" t="shared" si="4"/>
        <v>#REF!</v>
      </c>
      <c r="F9" s="558" t="s">
        <v>350</v>
      </c>
      <c r="G9" s="553"/>
      <c r="H9" s="553"/>
    </row>
    <row r="10" spans="1:8" ht="15">
      <c r="A10" s="554" t="s">
        <v>351</v>
      </c>
      <c r="B10" s="561">
        <f ca="1" t="shared" si="2"/>
        <v>0</v>
      </c>
      <c r="C10" s="556" t="s">
        <v>341</v>
      </c>
      <c r="D10" s="557">
        <f ca="1" t="shared" si="3"/>
        <v>6</v>
      </c>
      <c r="E10" s="557">
        <f ca="1" t="shared" si="4"/>
        <v>2</v>
      </c>
      <c r="F10" s="558" t="s">
        <v>352</v>
      </c>
      <c r="G10" s="553"/>
      <c r="H10" s="553"/>
    </row>
    <row r="11" spans="1:8" ht="15">
      <c r="A11" s="554" t="s">
        <v>353</v>
      </c>
      <c r="B11" s="561" t="e">
        <f ca="1" t="shared" si="2"/>
        <v>#REF!</v>
      </c>
      <c r="C11" s="556" t="s">
        <v>341</v>
      </c>
      <c r="D11" s="557" t="e">
        <f ca="1" t="shared" si="3"/>
        <v>#REF!</v>
      </c>
      <c r="E11" s="557" t="e">
        <f ca="1" t="shared" si="4"/>
        <v>#REF!</v>
      </c>
      <c r="F11" s="558" t="s">
        <v>354</v>
      </c>
      <c r="G11" s="553"/>
      <c r="H11" s="553"/>
    </row>
    <row r="12" spans="1:6" ht="15">
      <c r="A12" s="554" t="s">
        <v>355</v>
      </c>
      <c r="B12" s="561">
        <f ca="1" t="shared" si="2"/>
        <v>45</v>
      </c>
      <c r="C12" s="556" t="s">
        <v>341</v>
      </c>
      <c r="D12" s="557">
        <f ca="1" t="shared" si="3"/>
        <v>12</v>
      </c>
      <c r="E12" s="557">
        <f ca="1" t="shared" si="4"/>
        <v>3</v>
      </c>
      <c r="F12" s="558" t="s">
        <v>356</v>
      </c>
    </row>
    <row r="13" spans="1:6" ht="15">
      <c r="A13" s="554" t="s">
        <v>357</v>
      </c>
      <c r="B13" s="561">
        <f ca="1" t="shared" si="2"/>
        <v>45</v>
      </c>
      <c r="C13" s="556" t="s">
        <v>341</v>
      </c>
      <c r="D13" s="557">
        <f ca="1" t="shared" si="3"/>
        <v>12</v>
      </c>
      <c r="E13" s="557">
        <f ca="1" t="shared" si="4"/>
        <v>2</v>
      </c>
      <c r="F13" s="558" t="s">
        <v>356</v>
      </c>
    </row>
    <row r="14" spans="1:8" ht="15">
      <c r="A14" s="559" t="s">
        <v>358</v>
      </c>
      <c r="B14" s="561">
        <f ca="1" t="shared" si="2"/>
        <v>2</v>
      </c>
      <c r="C14" s="556" t="s">
        <v>341</v>
      </c>
      <c r="D14" s="557">
        <f ca="1" t="shared" si="3"/>
        <v>13</v>
      </c>
      <c r="E14" s="557">
        <f ca="1" t="shared" si="4"/>
        <v>2</v>
      </c>
      <c r="F14" s="558" t="s">
        <v>359</v>
      </c>
      <c r="G14" s="553"/>
      <c r="H14" s="553"/>
    </row>
    <row r="15" spans="1:8" ht="15">
      <c r="A15" s="554" t="s">
        <v>360</v>
      </c>
      <c r="B15" s="561">
        <f ca="1" t="shared" si="2"/>
        <v>0</v>
      </c>
      <c r="C15" s="556" t="s">
        <v>341</v>
      </c>
      <c r="D15" s="557">
        <f ca="1" t="shared" si="3"/>
        <v>5</v>
      </c>
      <c r="E15" s="557">
        <f ca="1" t="shared" si="4"/>
        <v>2</v>
      </c>
      <c r="F15" s="558" t="s">
        <v>361</v>
      </c>
      <c r="G15" s="553"/>
      <c r="H15" s="553"/>
    </row>
    <row r="16" spans="1:8" ht="15">
      <c r="A16" s="554" t="s">
        <v>362</v>
      </c>
      <c r="B16" s="561" t="e">
        <f ca="1" t="shared" si="2"/>
        <v>#REF!</v>
      </c>
      <c r="C16" s="556" t="s">
        <v>341</v>
      </c>
      <c r="D16" s="557" t="e">
        <f ca="1" t="shared" si="3"/>
        <v>#REF!</v>
      </c>
      <c r="E16" s="557" t="e">
        <f ca="1" t="shared" si="4"/>
        <v>#REF!</v>
      </c>
      <c r="F16" s="558" t="s">
        <v>363</v>
      </c>
      <c r="G16" s="553"/>
      <c r="H16" s="553"/>
    </row>
    <row r="17" spans="1:6" ht="15">
      <c r="A17" s="554" t="s">
        <v>364</v>
      </c>
      <c r="B17" s="561">
        <f ca="1" t="shared" si="2"/>
        <v>15</v>
      </c>
      <c r="C17" s="562" t="s">
        <v>341</v>
      </c>
      <c r="D17" s="557">
        <f ca="1" t="shared" si="3"/>
        <v>15</v>
      </c>
      <c r="E17" s="557">
        <f ca="1" t="shared" si="4"/>
        <v>3</v>
      </c>
      <c r="F17" s="563" t="s">
        <v>365</v>
      </c>
    </row>
    <row r="18" spans="1:6" ht="15">
      <c r="A18" s="554" t="s">
        <v>366</v>
      </c>
      <c r="B18" s="561">
        <f ca="1" t="shared" si="2"/>
        <v>12</v>
      </c>
      <c r="C18" s="562" t="s">
        <v>341</v>
      </c>
      <c r="D18" s="557">
        <f ca="1" t="shared" si="3"/>
        <v>15</v>
      </c>
      <c r="E18" s="557">
        <f ca="1" t="shared" si="4"/>
        <v>2</v>
      </c>
      <c r="F18" s="563" t="s">
        <v>367</v>
      </c>
    </row>
    <row r="19" spans="1:8" ht="15">
      <c r="A19" s="554" t="s">
        <v>368</v>
      </c>
      <c r="B19" s="561">
        <f ca="1" t="shared" si="2"/>
        <v>0</v>
      </c>
      <c r="C19" s="556" t="s">
        <v>341</v>
      </c>
      <c r="D19" s="557">
        <f ca="1" t="shared" si="3"/>
        <v>7</v>
      </c>
      <c r="E19" s="557">
        <f ca="1" t="shared" si="4"/>
        <v>2</v>
      </c>
      <c r="F19" s="558" t="s">
        <v>369</v>
      </c>
      <c r="G19" s="553"/>
      <c r="H19" s="553"/>
    </row>
    <row r="20" spans="1:8" ht="15">
      <c r="A20" s="554" t="s">
        <v>370</v>
      </c>
      <c r="B20" s="561" t="e">
        <f ca="1" t="shared" si="2"/>
        <v>#REF!</v>
      </c>
      <c r="C20" s="556" t="s">
        <v>341</v>
      </c>
      <c r="D20" s="557" t="e">
        <f ca="1" t="shared" si="3"/>
        <v>#REF!</v>
      </c>
      <c r="E20" s="557" t="e">
        <f ca="1" t="shared" si="4"/>
        <v>#REF!</v>
      </c>
      <c r="F20" s="558" t="s">
        <v>371</v>
      </c>
      <c r="G20" s="553"/>
      <c r="H20" s="553"/>
    </row>
    <row r="21" spans="1:8" ht="15">
      <c r="A21" s="559" t="s">
        <v>372</v>
      </c>
      <c r="B21" s="564">
        <f ca="1" t="shared" si="2"/>
        <v>4</v>
      </c>
      <c r="C21" s="556" t="s">
        <v>341</v>
      </c>
      <c r="D21" s="557">
        <f ca="1" t="shared" si="3"/>
        <v>11</v>
      </c>
      <c r="E21" s="557">
        <f ca="1" t="shared" si="4"/>
        <v>3</v>
      </c>
      <c r="F21" s="563" t="s">
        <v>373</v>
      </c>
      <c r="G21" s="553"/>
      <c r="H21" s="553"/>
    </row>
    <row r="22" spans="1:8" ht="15.75">
      <c r="A22" s="565" t="s">
        <v>374</v>
      </c>
      <c r="B22" s="566">
        <f ca="1" t="shared" si="2"/>
        <v>4</v>
      </c>
      <c r="C22" s="567" t="s">
        <v>341</v>
      </c>
      <c r="D22" s="568">
        <f ca="1" t="shared" si="3"/>
        <v>11</v>
      </c>
      <c r="E22" s="568">
        <f ca="1" t="shared" si="4"/>
        <v>2</v>
      </c>
      <c r="F22" s="569" t="s">
        <v>373</v>
      </c>
      <c r="G22" s="553"/>
      <c r="H22" s="553"/>
    </row>
    <row r="23" spans="1:8" ht="15">
      <c r="A23" s="544" t="s">
        <v>342</v>
      </c>
      <c r="B23" s="545"/>
      <c r="C23" s="545" t="s">
        <v>342</v>
      </c>
      <c r="D23" s="546">
        <f ca="1" t="shared" si="3"/>
        <v>3</v>
      </c>
      <c r="E23" s="546">
        <f ca="1" t="shared" si="4"/>
        <v>1</v>
      </c>
      <c r="F23" s="547"/>
      <c r="G23" s="553"/>
      <c r="H23" s="553"/>
    </row>
    <row r="24" spans="1:6" ht="15">
      <c r="A24" s="548" t="s">
        <v>375</v>
      </c>
      <c r="B24" s="549"/>
      <c r="C24" s="550" t="s">
        <v>342</v>
      </c>
      <c r="D24" s="546" t="e">
        <f ca="1" t="shared" si="3"/>
        <v>#REF!</v>
      </c>
      <c r="E24" s="546" t="e">
        <f ca="1" t="shared" si="4"/>
        <v>#REF!</v>
      </c>
      <c r="F24" s="570" t="s">
        <v>376</v>
      </c>
    </row>
    <row r="25" spans="1:6" ht="15">
      <c r="A25" s="548" t="s">
        <v>227</v>
      </c>
      <c r="B25" s="552"/>
      <c r="C25" s="550" t="s">
        <v>342</v>
      </c>
      <c r="D25" s="546">
        <f ca="1" t="shared" si="3"/>
        <v>1</v>
      </c>
      <c r="E25" s="546">
        <f ca="1" t="shared" si="4"/>
        <v>1</v>
      </c>
      <c r="F25" s="571" t="s">
        <v>377</v>
      </c>
    </row>
    <row r="26" spans="1:8" ht="15">
      <c r="A26" s="548" t="s">
        <v>255</v>
      </c>
      <c r="B26" s="552"/>
      <c r="C26" s="550" t="s">
        <v>342</v>
      </c>
      <c r="D26" s="546">
        <f ca="1" t="shared" si="3"/>
        <v>1</v>
      </c>
      <c r="E26" s="546">
        <f ca="1" t="shared" si="4"/>
        <v>4</v>
      </c>
      <c r="F26" s="572" t="s">
        <v>378</v>
      </c>
      <c r="G26" s="553"/>
      <c r="H26" s="553"/>
    </row>
    <row r="27" spans="1:8" ht="15.75">
      <c r="A27" s="573" t="s">
        <v>379</v>
      </c>
      <c r="B27" s="574"/>
      <c r="C27" s="575" t="s">
        <v>342</v>
      </c>
      <c r="D27" s="576">
        <f ca="1" t="shared" si="3"/>
        <v>1</v>
      </c>
      <c r="E27" s="576">
        <f ca="1" t="shared" si="4"/>
        <v>3</v>
      </c>
      <c r="F27" s="570" t="s">
        <v>380</v>
      </c>
      <c r="G27" s="553"/>
      <c r="H27" s="553"/>
    </row>
    <row r="28" spans="1:8" ht="15">
      <c r="A28" s="544" t="s">
        <v>381</v>
      </c>
      <c r="B28" s="545"/>
      <c r="C28" s="545" t="s">
        <v>382</v>
      </c>
      <c r="D28" s="546">
        <f ca="1" t="shared" si="3"/>
        <v>4</v>
      </c>
      <c r="E28" s="546">
        <f ca="1" t="shared" si="4"/>
        <v>1</v>
      </c>
      <c r="F28" s="547"/>
      <c r="G28" s="553"/>
      <c r="H28" s="553"/>
    </row>
    <row r="29" spans="1:8" ht="15">
      <c r="A29" s="548" t="s">
        <v>383</v>
      </c>
      <c r="B29" s="552"/>
      <c r="C29" s="550" t="s">
        <v>381</v>
      </c>
      <c r="D29" s="546">
        <v>1</v>
      </c>
      <c r="E29" s="546">
        <f ca="1" t="shared" si="4"/>
        <v>6</v>
      </c>
      <c r="F29" s="572" t="s">
        <v>384</v>
      </c>
      <c r="G29" s="553"/>
      <c r="H29" s="553"/>
    </row>
    <row r="30" spans="1:8" ht="15.75">
      <c r="A30" s="548" t="s">
        <v>385</v>
      </c>
      <c r="B30" s="552"/>
      <c r="C30" s="550" t="s">
        <v>381</v>
      </c>
      <c r="D30" s="546">
        <v>1</v>
      </c>
      <c r="E30" s="546">
        <f ca="1" t="shared" si="4"/>
        <v>4</v>
      </c>
      <c r="F30" s="577" t="s">
        <v>386</v>
      </c>
      <c r="G30" s="553"/>
      <c r="H30" s="553"/>
    </row>
    <row r="31" spans="1:8" ht="15">
      <c r="A31" s="544" t="s">
        <v>387</v>
      </c>
      <c r="B31" s="545"/>
      <c r="C31" s="545" t="s">
        <v>387</v>
      </c>
      <c r="D31" s="546">
        <f aca="true" ca="1" t="shared" si="5" ref="D31:D49">ROW(INDIRECT(A31))</f>
        <v>3</v>
      </c>
      <c r="E31" s="546">
        <f ca="1" t="shared" si="4"/>
        <v>1</v>
      </c>
      <c r="F31" s="547" t="s">
        <v>336</v>
      </c>
      <c r="G31" s="553"/>
      <c r="H31" s="553"/>
    </row>
    <row r="32" spans="1:8" ht="15">
      <c r="A32" s="548" t="s">
        <v>87</v>
      </c>
      <c r="B32" s="552"/>
      <c r="C32" s="550" t="s">
        <v>387</v>
      </c>
      <c r="D32" s="546">
        <f ca="1" t="shared" si="5"/>
        <v>1</v>
      </c>
      <c r="E32" s="546">
        <f ca="1" t="shared" si="4"/>
        <v>5</v>
      </c>
      <c r="F32" s="572" t="s">
        <v>388</v>
      </c>
      <c r="G32" s="553"/>
      <c r="H32" s="553"/>
    </row>
    <row r="33" spans="1:8" ht="15">
      <c r="A33" s="548" t="s">
        <v>389</v>
      </c>
      <c r="B33" s="552"/>
      <c r="C33" s="550" t="s">
        <v>387</v>
      </c>
      <c r="D33" s="546">
        <f ca="1" t="shared" si="5"/>
        <v>1</v>
      </c>
      <c r="E33" s="546">
        <f ca="1" t="shared" si="4"/>
        <v>3</v>
      </c>
      <c r="F33" s="572" t="s">
        <v>390</v>
      </c>
      <c r="G33" s="553"/>
      <c r="H33" s="553"/>
    </row>
    <row r="34" spans="1:8" ht="15">
      <c r="A34" s="578" t="s">
        <v>267</v>
      </c>
      <c r="B34" s="552"/>
      <c r="C34" s="550" t="s">
        <v>387</v>
      </c>
      <c r="D34" s="546">
        <f ca="1" t="shared" si="5"/>
        <v>1</v>
      </c>
      <c r="E34" s="546">
        <f ca="1" t="shared" si="4"/>
        <v>19</v>
      </c>
      <c r="F34" s="579" t="s">
        <v>391</v>
      </c>
      <c r="G34" s="553"/>
      <c r="H34" s="553"/>
    </row>
    <row r="35" spans="1:8" ht="15">
      <c r="A35" s="578" t="s">
        <v>392</v>
      </c>
      <c r="B35" s="552"/>
      <c r="C35" s="550" t="s">
        <v>387</v>
      </c>
      <c r="D35" s="546">
        <f ca="1" t="shared" si="5"/>
        <v>1</v>
      </c>
      <c r="E35" s="546">
        <f ca="1" t="shared" si="4"/>
        <v>20</v>
      </c>
      <c r="F35" s="579" t="s">
        <v>393</v>
      </c>
      <c r="G35" s="553"/>
      <c r="H35" s="553"/>
    </row>
    <row r="36" spans="1:8" ht="15">
      <c r="A36" s="548" t="s">
        <v>394</v>
      </c>
      <c r="B36" s="552"/>
      <c r="C36" s="550" t="s">
        <v>387</v>
      </c>
      <c r="D36" s="546">
        <f ca="1" t="shared" si="5"/>
        <v>1</v>
      </c>
      <c r="E36" s="546">
        <f ca="1" t="shared" si="4"/>
        <v>9</v>
      </c>
      <c r="F36" s="572" t="s">
        <v>395</v>
      </c>
      <c r="G36" s="553"/>
      <c r="H36" s="553"/>
    </row>
    <row r="37" spans="1:8" ht="15">
      <c r="A37" s="548" t="s">
        <v>396</v>
      </c>
      <c r="B37" s="552"/>
      <c r="C37" s="550" t="s">
        <v>387</v>
      </c>
      <c r="D37" s="546">
        <f ca="1" t="shared" si="5"/>
        <v>1</v>
      </c>
      <c r="E37" s="546">
        <f ca="1" t="shared" si="4"/>
        <v>11</v>
      </c>
      <c r="F37" s="572" t="s">
        <v>397</v>
      </c>
      <c r="G37" s="553"/>
      <c r="H37" s="553"/>
    </row>
    <row r="38" spans="1:8" ht="15">
      <c r="A38" s="548" t="s">
        <v>398</v>
      </c>
      <c r="B38" s="552"/>
      <c r="C38" s="550" t="s">
        <v>387</v>
      </c>
      <c r="D38" s="546">
        <f ca="1" t="shared" si="5"/>
        <v>1</v>
      </c>
      <c r="E38" s="546">
        <f ca="1" t="shared" si="4"/>
        <v>13</v>
      </c>
      <c r="F38" s="572" t="s">
        <v>399</v>
      </c>
      <c r="G38" s="553"/>
      <c r="H38" s="553"/>
    </row>
    <row r="39" spans="1:6" ht="15">
      <c r="A39" s="548" t="s">
        <v>400</v>
      </c>
      <c r="B39" s="552"/>
      <c r="C39" s="550" t="s">
        <v>387</v>
      </c>
      <c r="D39" s="546">
        <f ca="1" t="shared" si="5"/>
        <v>1</v>
      </c>
      <c r="E39" s="546">
        <f ca="1" t="shared" si="4"/>
        <v>15</v>
      </c>
      <c r="F39" s="572" t="s">
        <v>401</v>
      </c>
    </row>
    <row r="40" spans="1:6" ht="15">
      <c r="A40" s="548" t="s">
        <v>402</v>
      </c>
      <c r="B40" s="552"/>
      <c r="C40" s="550" t="s">
        <v>387</v>
      </c>
      <c r="D40" s="546">
        <f ca="1" t="shared" si="5"/>
        <v>1</v>
      </c>
      <c r="E40" s="546">
        <f ca="1" t="shared" si="4"/>
        <v>16</v>
      </c>
      <c r="F40" s="572" t="s">
        <v>403</v>
      </c>
    </row>
    <row r="41" spans="1:8" ht="15">
      <c r="A41" s="548" t="s">
        <v>404</v>
      </c>
      <c r="B41" s="552"/>
      <c r="C41" s="550" t="s">
        <v>387</v>
      </c>
      <c r="D41" s="546">
        <f ca="1" t="shared" si="5"/>
        <v>1</v>
      </c>
      <c r="E41" s="546">
        <f ca="1" t="shared" si="4"/>
        <v>21</v>
      </c>
      <c r="F41" s="579" t="s">
        <v>405</v>
      </c>
      <c r="G41" s="553"/>
      <c r="H41" s="553"/>
    </row>
    <row r="42" spans="1:8" ht="15">
      <c r="A42" s="548" t="s">
        <v>406</v>
      </c>
      <c r="B42" s="552"/>
      <c r="C42" s="550" t="s">
        <v>387</v>
      </c>
      <c r="D42" s="546" t="e">
        <f ca="1" t="shared" si="5"/>
        <v>#REF!</v>
      </c>
      <c r="E42" s="546" t="e">
        <f ca="1" t="shared" si="4"/>
        <v>#REF!</v>
      </c>
      <c r="F42" s="579" t="s">
        <v>407</v>
      </c>
      <c r="G42" s="553"/>
      <c r="H42" s="553"/>
    </row>
    <row r="43" spans="1:8" ht="15">
      <c r="A43" s="548" t="s">
        <v>408</v>
      </c>
      <c r="B43" s="552"/>
      <c r="C43" s="550" t="s">
        <v>387</v>
      </c>
      <c r="D43" s="546">
        <f ca="1" t="shared" si="5"/>
        <v>1</v>
      </c>
      <c r="E43" s="546">
        <f ca="1" t="shared" si="4"/>
        <v>10</v>
      </c>
      <c r="F43" s="572" t="s">
        <v>409</v>
      </c>
      <c r="G43" s="553"/>
      <c r="H43" s="553"/>
    </row>
    <row r="44" spans="1:8" ht="15">
      <c r="A44" s="548" t="s">
        <v>410</v>
      </c>
      <c r="B44" s="552"/>
      <c r="C44" s="550" t="s">
        <v>387</v>
      </c>
      <c r="D44" s="546">
        <f ca="1" t="shared" si="5"/>
        <v>1</v>
      </c>
      <c r="E44" s="546">
        <f ca="1" t="shared" si="4"/>
        <v>12</v>
      </c>
      <c r="F44" s="572" t="s">
        <v>411</v>
      </c>
      <c r="G44" s="553"/>
      <c r="H44" s="553"/>
    </row>
    <row r="45" spans="1:8" ht="15">
      <c r="A45" s="548" t="s">
        <v>412</v>
      </c>
      <c r="B45" s="552"/>
      <c r="C45" s="550" t="s">
        <v>387</v>
      </c>
      <c r="D45" s="546">
        <f ca="1" t="shared" si="5"/>
        <v>1</v>
      </c>
      <c r="E45" s="546">
        <f ca="1" t="shared" si="4"/>
        <v>14</v>
      </c>
      <c r="F45" s="572" t="s">
        <v>413</v>
      </c>
      <c r="G45" s="553"/>
      <c r="H45" s="553"/>
    </row>
    <row r="46" spans="1:8" ht="14.25" customHeight="1">
      <c r="A46" s="548" t="s">
        <v>414</v>
      </c>
      <c r="B46" s="552"/>
      <c r="C46" s="550" t="s">
        <v>387</v>
      </c>
      <c r="D46" s="546">
        <f ca="1" t="shared" si="5"/>
        <v>1</v>
      </c>
      <c r="E46" s="546">
        <f ca="1" t="shared" si="4"/>
        <v>6</v>
      </c>
      <c r="F46" s="572" t="s">
        <v>415</v>
      </c>
      <c r="G46" s="553"/>
      <c r="H46" s="553"/>
    </row>
    <row r="47" spans="1:8" ht="15">
      <c r="A47" s="548" t="s">
        <v>416</v>
      </c>
      <c r="B47" s="552"/>
      <c r="C47" s="550" t="s">
        <v>387</v>
      </c>
      <c r="D47" s="546">
        <f ca="1" t="shared" si="5"/>
        <v>1</v>
      </c>
      <c r="E47" s="546">
        <f ca="1" t="shared" si="4"/>
        <v>2</v>
      </c>
      <c r="F47" s="572" t="s">
        <v>417</v>
      </c>
      <c r="G47" s="553"/>
      <c r="H47" s="553"/>
    </row>
    <row r="48" spans="1:8" ht="14.25" customHeight="1">
      <c r="A48" s="548" t="s">
        <v>89</v>
      </c>
      <c r="B48" s="552"/>
      <c r="C48" s="550" t="s">
        <v>387</v>
      </c>
      <c r="D48" s="546">
        <f ca="1" t="shared" si="5"/>
        <v>1</v>
      </c>
      <c r="E48" s="546">
        <f ca="1" t="shared" si="4"/>
        <v>7</v>
      </c>
      <c r="F48" s="572" t="s">
        <v>418</v>
      </c>
      <c r="G48" s="553"/>
      <c r="H48" s="553"/>
    </row>
    <row r="49" spans="1:8" ht="15.75">
      <c r="A49" s="580" t="s">
        <v>86</v>
      </c>
      <c r="B49" s="574"/>
      <c r="C49" s="575" t="s">
        <v>387</v>
      </c>
      <c r="D49" s="576">
        <f ca="1" t="shared" si="5"/>
        <v>1</v>
      </c>
      <c r="E49" s="576">
        <f ca="1" t="shared" si="4"/>
        <v>4</v>
      </c>
      <c r="F49" s="581" t="s">
        <v>419</v>
      </c>
      <c r="G49" s="553"/>
      <c r="H49" s="553"/>
    </row>
    <row r="50" spans="1:8" ht="15">
      <c r="A50" s="544" t="s">
        <v>420</v>
      </c>
      <c r="B50" s="545"/>
      <c r="C50" s="545" t="s">
        <v>387</v>
      </c>
      <c r="D50" s="546"/>
      <c r="E50" s="546"/>
      <c r="F50" s="547"/>
      <c r="G50" s="553"/>
      <c r="H50" s="553"/>
    </row>
    <row r="51" spans="1:8" ht="15">
      <c r="A51" s="548" t="s">
        <v>66</v>
      </c>
      <c r="B51" s="582">
        <f ca="1" t="shared" si="6" ref="B51:B75">INDIRECT(A51)</f>
        <v>0.04513888888888889</v>
      </c>
      <c r="C51" s="583" t="s">
        <v>420</v>
      </c>
      <c r="D51" s="546">
        <f aca="true" ca="1" t="shared" si="7" ref="D51:D81">ROW(INDIRECT(A51))</f>
        <v>18</v>
      </c>
      <c r="E51" s="546">
        <f aca="true" ca="1" t="shared" si="8" ref="E51:E100">COLUMN(INDIRECT(A51))</f>
        <v>4</v>
      </c>
      <c r="F51" s="579" t="s">
        <v>421</v>
      </c>
      <c r="G51" s="553"/>
      <c r="H51" s="553"/>
    </row>
    <row r="52" spans="1:8" ht="15">
      <c r="A52" s="584" t="s">
        <v>422</v>
      </c>
      <c r="B52" s="585">
        <f ca="1" t="shared" si="6"/>
        <v>0.3541666666666667</v>
      </c>
      <c r="C52" s="583" t="s">
        <v>420</v>
      </c>
      <c r="D52" s="546">
        <f ca="1" t="shared" si="7"/>
        <v>11</v>
      </c>
      <c r="E52" s="546">
        <f ca="1" t="shared" si="8"/>
        <v>2</v>
      </c>
      <c r="F52" s="572" t="s">
        <v>423</v>
      </c>
      <c r="G52" s="553"/>
      <c r="H52" s="553"/>
    </row>
    <row r="53" spans="1:8" ht="15">
      <c r="A53" s="584" t="s">
        <v>424</v>
      </c>
      <c r="B53" s="549">
        <f ca="1" t="shared" si="6"/>
        <v>390</v>
      </c>
      <c r="C53" s="583" t="s">
        <v>420</v>
      </c>
      <c r="D53" s="546">
        <f ca="1" t="shared" si="7"/>
        <v>7</v>
      </c>
      <c r="E53" s="546">
        <f ca="1" t="shared" si="8"/>
        <v>2</v>
      </c>
      <c r="F53" s="572" t="s">
        <v>425</v>
      </c>
      <c r="G53" s="553"/>
      <c r="H53" s="553"/>
    </row>
    <row r="54" spans="1:8" ht="15">
      <c r="A54" s="548" t="s">
        <v>426</v>
      </c>
      <c r="B54" s="586">
        <f ca="1" t="shared" si="6"/>
        <v>3.9</v>
      </c>
      <c r="C54" s="583" t="s">
        <v>420</v>
      </c>
      <c r="D54" s="546">
        <f ca="1" t="shared" si="7"/>
        <v>19</v>
      </c>
      <c r="E54" s="546">
        <f ca="1" t="shared" si="8"/>
        <v>2</v>
      </c>
      <c r="F54" s="579" t="s">
        <v>427</v>
      </c>
      <c r="G54" s="553"/>
      <c r="H54" s="553"/>
    </row>
    <row r="55" spans="1:8" ht="15">
      <c r="A55" s="578" t="s">
        <v>428</v>
      </c>
      <c r="B55" s="582">
        <f ca="1" t="shared" si="6"/>
        <v>0.3993055555555556</v>
      </c>
      <c r="C55" s="583" t="s">
        <v>420</v>
      </c>
      <c r="D55" s="546">
        <f ca="1" t="shared" si="7"/>
        <v>18</v>
      </c>
      <c r="E55" s="546">
        <f ca="1" t="shared" si="8"/>
        <v>2</v>
      </c>
      <c r="F55" s="579" t="s">
        <v>429</v>
      </c>
      <c r="G55" s="553"/>
      <c r="H55" s="553"/>
    </row>
    <row r="56" spans="1:8" ht="15">
      <c r="A56" s="584" t="s">
        <v>430</v>
      </c>
      <c r="B56" s="587">
        <f ca="1" t="shared" si="6"/>
        <v>13.3</v>
      </c>
      <c r="C56" s="583" t="s">
        <v>420</v>
      </c>
      <c r="D56" s="546">
        <f ca="1" t="shared" si="7"/>
        <v>6</v>
      </c>
      <c r="E56" s="546">
        <f ca="1" t="shared" si="8"/>
        <v>2</v>
      </c>
      <c r="F56" s="572" t="s">
        <v>431</v>
      </c>
      <c r="G56" s="553"/>
      <c r="H56" s="553"/>
    </row>
    <row r="57" spans="1:8" ht="15">
      <c r="A57" s="548" t="s">
        <v>432</v>
      </c>
      <c r="B57" s="588">
        <f ca="1" t="shared" si="6"/>
        <v>17.2</v>
      </c>
      <c r="C57" s="583" t="s">
        <v>420</v>
      </c>
      <c r="D57" s="546">
        <f ca="1" t="shared" si="7"/>
        <v>20</v>
      </c>
      <c r="E57" s="546">
        <f ca="1" t="shared" si="8"/>
        <v>2</v>
      </c>
      <c r="F57" s="579" t="s">
        <v>433</v>
      </c>
      <c r="G57" s="553"/>
      <c r="H57" s="553"/>
    </row>
    <row r="58" spans="1:8" ht="15">
      <c r="A58" s="548" t="s">
        <v>434</v>
      </c>
      <c r="B58" s="586">
        <f ca="1" t="shared" si="6"/>
        <v>14</v>
      </c>
      <c r="C58" s="583" t="s">
        <v>420</v>
      </c>
      <c r="D58" s="546">
        <f ca="1" t="shared" si="7"/>
        <v>4</v>
      </c>
      <c r="E58" s="546">
        <f ca="1" t="shared" si="8"/>
        <v>2</v>
      </c>
      <c r="F58" s="579" t="s">
        <v>435</v>
      </c>
      <c r="G58" s="553"/>
      <c r="H58" s="553"/>
    </row>
    <row r="59" spans="1:8" ht="15">
      <c r="A59" s="548" t="s">
        <v>436</v>
      </c>
      <c r="B59" s="586">
        <f ca="1" t="shared" si="6"/>
        <v>13</v>
      </c>
      <c r="C59" s="583" t="s">
        <v>420</v>
      </c>
      <c r="D59" s="546">
        <f ca="1" t="shared" si="7"/>
        <v>15</v>
      </c>
      <c r="E59" s="546">
        <f ca="1" t="shared" si="8"/>
        <v>2</v>
      </c>
      <c r="F59" s="579" t="s">
        <v>437</v>
      </c>
      <c r="G59" s="553"/>
      <c r="H59" s="553"/>
    </row>
    <row r="60" spans="1:8" ht="15">
      <c r="A60" s="584" t="s">
        <v>438</v>
      </c>
      <c r="B60" s="585">
        <f ca="1" t="shared" si="6"/>
        <v>0.6875</v>
      </c>
      <c r="C60" s="583" t="s">
        <v>420</v>
      </c>
      <c r="D60" s="546">
        <f ca="1" t="shared" si="7"/>
        <v>12</v>
      </c>
      <c r="E60" s="546">
        <f ca="1" t="shared" si="8"/>
        <v>2</v>
      </c>
      <c r="F60" s="572" t="s">
        <v>439</v>
      </c>
      <c r="G60" s="553"/>
      <c r="H60" s="553"/>
    </row>
    <row r="61" spans="1:8" ht="15">
      <c r="A61" s="548" t="s">
        <v>440</v>
      </c>
      <c r="B61" s="582">
        <f ca="1" t="shared" si="6"/>
        <v>0.6493055555555556</v>
      </c>
      <c r="C61" s="583" t="s">
        <v>420</v>
      </c>
      <c r="D61" s="546">
        <f ca="1" t="shared" si="7"/>
        <v>12</v>
      </c>
      <c r="E61" s="546">
        <f ca="1" t="shared" si="8"/>
        <v>5</v>
      </c>
      <c r="F61" s="579" t="s">
        <v>441</v>
      </c>
      <c r="G61" s="553"/>
      <c r="H61" s="553"/>
    </row>
    <row r="62" spans="1:8" ht="15">
      <c r="A62" s="548" t="s">
        <v>442</v>
      </c>
      <c r="B62" s="582">
        <f ca="1" t="shared" si="6"/>
        <v>0.5520833333333334</v>
      </c>
      <c r="C62" s="583" t="s">
        <v>420</v>
      </c>
      <c r="D62" s="546">
        <f ca="1" t="shared" si="7"/>
        <v>12</v>
      </c>
      <c r="E62" s="546">
        <f ca="1" t="shared" si="8"/>
        <v>4</v>
      </c>
      <c r="F62" s="579" t="s">
        <v>443</v>
      </c>
      <c r="G62" s="553"/>
      <c r="H62" s="553"/>
    </row>
    <row r="63" spans="1:8" ht="15">
      <c r="A63" s="159" t="s">
        <v>444</v>
      </c>
      <c r="B63" s="549">
        <f ca="1" t="shared" si="6"/>
        <v>45</v>
      </c>
      <c r="C63" s="583" t="s">
        <v>420</v>
      </c>
      <c r="D63" s="546">
        <f ca="1" t="shared" si="7"/>
        <v>9</v>
      </c>
      <c r="E63" s="546">
        <f ca="1" t="shared" si="8"/>
        <v>2</v>
      </c>
      <c r="F63" s="558" t="s">
        <v>445</v>
      </c>
      <c r="G63" s="553"/>
      <c r="H63" s="553"/>
    </row>
    <row r="64" spans="1:8" ht="15">
      <c r="A64" s="584" t="s">
        <v>446</v>
      </c>
      <c r="B64" s="549">
        <f ca="1" t="shared" si="6"/>
        <v>5</v>
      </c>
      <c r="C64" s="583" t="s">
        <v>420</v>
      </c>
      <c r="D64" s="546">
        <f ca="1" t="shared" si="7"/>
        <v>13</v>
      </c>
      <c r="E64" s="546">
        <f ca="1" t="shared" si="8"/>
        <v>2</v>
      </c>
      <c r="F64" s="572" t="s">
        <v>447</v>
      </c>
      <c r="G64" s="553"/>
      <c r="H64" s="553"/>
    </row>
    <row r="65" spans="1:8" ht="15">
      <c r="A65" s="548" t="s">
        <v>448</v>
      </c>
      <c r="B65" s="586">
        <f ca="1" t="shared" si="6"/>
        <v>11</v>
      </c>
      <c r="C65" s="583" t="s">
        <v>420</v>
      </c>
      <c r="D65" s="546">
        <f ca="1" t="shared" si="7"/>
        <v>13</v>
      </c>
      <c r="E65" s="546">
        <f ca="1" t="shared" si="8"/>
        <v>5</v>
      </c>
      <c r="F65" s="579" t="s">
        <v>449</v>
      </c>
      <c r="G65" s="553"/>
      <c r="H65" s="553"/>
    </row>
    <row r="66" spans="1:6" ht="15">
      <c r="A66" s="584" t="s">
        <v>226</v>
      </c>
      <c r="B66" s="549">
        <f ca="1" t="shared" si="6"/>
        <v>0</v>
      </c>
      <c r="C66" s="583" t="s">
        <v>420</v>
      </c>
      <c r="D66" s="546">
        <f ca="1" t="shared" si="7"/>
        <v>3</v>
      </c>
      <c r="E66" s="546">
        <f ca="1" t="shared" si="8"/>
        <v>2</v>
      </c>
      <c r="F66" s="572" t="s">
        <v>450</v>
      </c>
    </row>
    <row r="67" spans="1:8" ht="15">
      <c r="A67" s="584" t="s">
        <v>451</v>
      </c>
      <c r="B67" s="549">
        <f ca="1" t="shared" si="6"/>
        <v>13</v>
      </c>
      <c r="C67" s="583" t="s">
        <v>420</v>
      </c>
      <c r="D67" s="546">
        <f ca="1" t="shared" si="7"/>
        <v>10</v>
      </c>
      <c r="E67" s="546">
        <f ca="1" t="shared" si="8"/>
        <v>2</v>
      </c>
      <c r="F67" s="558" t="s">
        <v>452</v>
      </c>
      <c r="G67" s="553"/>
      <c r="H67" s="553"/>
    </row>
    <row r="68" spans="1:8" ht="15">
      <c r="A68" s="548" t="s">
        <v>453</v>
      </c>
      <c r="B68" s="589">
        <f ca="1" t="shared" si="6"/>
        <v>4.3</v>
      </c>
      <c r="C68" s="583" t="s">
        <v>420</v>
      </c>
      <c r="D68" s="546">
        <f ca="1" t="shared" si="7"/>
        <v>21</v>
      </c>
      <c r="E68" s="546">
        <f ca="1" t="shared" si="8"/>
        <v>2</v>
      </c>
      <c r="F68" s="579" t="s">
        <v>454</v>
      </c>
      <c r="G68" s="553"/>
      <c r="H68" s="553"/>
    </row>
    <row r="69" spans="1:8" ht="15">
      <c r="A69" s="548" t="s">
        <v>455</v>
      </c>
      <c r="B69" s="589">
        <f ca="1" t="shared" si="6"/>
        <v>258</v>
      </c>
      <c r="C69" s="583" t="s">
        <v>420</v>
      </c>
      <c r="D69" s="546">
        <f ca="1" t="shared" si="7"/>
        <v>22</v>
      </c>
      <c r="E69" s="546">
        <f ca="1" t="shared" si="8"/>
        <v>2</v>
      </c>
      <c r="F69" s="579" t="s">
        <v>454</v>
      </c>
      <c r="G69" s="553"/>
      <c r="H69" s="553"/>
    </row>
    <row r="70" spans="1:8" ht="15">
      <c r="A70" s="590" t="s">
        <v>456</v>
      </c>
      <c r="B70" s="582">
        <f ca="1" t="shared" si="6"/>
        <v>0.3541666666666667</v>
      </c>
      <c r="C70" s="583" t="s">
        <v>420</v>
      </c>
      <c r="D70" s="546">
        <f ca="1" t="shared" si="7"/>
        <v>17</v>
      </c>
      <c r="E70" s="546">
        <f ca="1" t="shared" si="8"/>
        <v>2</v>
      </c>
      <c r="F70" s="579" t="s">
        <v>423</v>
      </c>
      <c r="G70" s="553"/>
      <c r="H70" s="553"/>
    </row>
    <row r="71" spans="1:8" ht="15">
      <c r="A71" s="159" t="s">
        <v>457</v>
      </c>
      <c r="B71" s="582">
        <f ca="1" t="shared" si="6"/>
        <v>0.21041666666666667</v>
      </c>
      <c r="C71" s="583" t="s">
        <v>420</v>
      </c>
      <c r="D71" s="546">
        <f ca="1" t="shared" si="7"/>
        <v>24</v>
      </c>
      <c r="E71" s="546">
        <f ca="1" t="shared" si="8"/>
        <v>2</v>
      </c>
      <c r="F71" s="570" t="s">
        <v>458</v>
      </c>
      <c r="G71" s="553"/>
      <c r="H71" s="553"/>
    </row>
    <row r="72" spans="1:8" ht="15">
      <c r="A72" s="548" t="s">
        <v>459</v>
      </c>
      <c r="B72" s="582">
        <f ca="1" t="shared" si="6"/>
        <v>0.19791666666666666</v>
      </c>
      <c r="C72" s="583" t="s">
        <v>420</v>
      </c>
      <c r="D72" s="546">
        <f ca="1" t="shared" si="7"/>
        <v>24</v>
      </c>
      <c r="E72" s="546">
        <f ca="1" t="shared" si="8"/>
        <v>4</v>
      </c>
      <c r="F72" s="570" t="s">
        <v>460</v>
      </c>
      <c r="G72" s="553"/>
      <c r="H72" s="553"/>
    </row>
    <row r="73" spans="1:8" ht="15">
      <c r="A73" s="548" t="s">
        <v>461</v>
      </c>
      <c r="B73" s="582">
        <f ca="1" t="shared" si="6"/>
        <v>0.23958333333333334</v>
      </c>
      <c r="C73" s="583" t="s">
        <v>420</v>
      </c>
      <c r="D73" s="546">
        <f ca="1" t="shared" si="7"/>
        <v>24</v>
      </c>
      <c r="E73" s="546">
        <f ca="1" t="shared" si="8"/>
        <v>5</v>
      </c>
      <c r="F73" s="570" t="s">
        <v>460</v>
      </c>
      <c r="G73" s="553"/>
      <c r="H73" s="553"/>
    </row>
    <row r="74" spans="1:8" ht="15">
      <c r="A74" s="578" t="s">
        <v>462</v>
      </c>
      <c r="B74" s="589">
        <f ca="1" t="shared" si="6"/>
        <v>303</v>
      </c>
      <c r="C74" s="583" t="s">
        <v>420</v>
      </c>
      <c r="D74" s="546">
        <f ca="1" t="shared" si="7"/>
        <v>23</v>
      </c>
      <c r="E74" s="546">
        <f ca="1" t="shared" si="8"/>
        <v>2</v>
      </c>
      <c r="F74" s="570" t="s">
        <v>463</v>
      </c>
      <c r="G74" s="553"/>
      <c r="H74" s="553"/>
    </row>
    <row r="75" spans="1:8" ht="15.75">
      <c r="A75" s="159" t="s">
        <v>289</v>
      </c>
      <c r="B75" s="591">
        <f ca="1" t="shared" si="6"/>
        <v>4</v>
      </c>
      <c r="C75" s="592" t="s">
        <v>420</v>
      </c>
      <c r="D75" s="576">
        <f ca="1" t="shared" si="7"/>
        <v>8</v>
      </c>
      <c r="E75" s="576">
        <f ca="1" t="shared" si="8"/>
        <v>2</v>
      </c>
      <c r="F75" s="569" t="s">
        <v>464</v>
      </c>
      <c r="G75" s="553"/>
      <c r="H75" s="553"/>
    </row>
    <row r="76" spans="1:8" ht="15">
      <c r="A76" s="544" t="s">
        <v>382</v>
      </c>
      <c r="B76" s="545"/>
      <c r="C76" s="545" t="s">
        <v>382</v>
      </c>
      <c r="D76" s="546">
        <f ca="1" t="shared" si="7"/>
        <v>4</v>
      </c>
      <c r="E76" s="546">
        <f ca="1" t="shared" si="8"/>
        <v>1</v>
      </c>
      <c r="F76" s="547"/>
      <c r="G76" s="553"/>
      <c r="H76" s="553"/>
    </row>
    <row r="77" spans="1:6" ht="15">
      <c r="A77" s="548" t="s">
        <v>465</v>
      </c>
      <c r="B77" s="552"/>
      <c r="C77" s="537" t="s">
        <v>382</v>
      </c>
      <c r="D77" s="546">
        <f ca="1" t="shared" si="7"/>
        <v>1</v>
      </c>
      <c r="E77" s="546">
        <f ca="1" t="shared" si="8"/>
        <v>29</v>
      </c>
      <c r="F77" s="579" t="s">
        <v>466</v>
      </c>
    </row>
    <row r="78" spans="1:8" ht="15">
      <c r="A78" s="548" t="s">
        <v>467</v>
      </c>
      <c r="B78" s="552"/>
      <c r="C78" s="550" t="s">
        <v>382</v>
      </c>
      <c r="D78" s="546">
        <f ca="1" t="shared" si="7"/>
        <v>1</v>
      </c>
      <c r="E78" s="546">
        <f ca="1" t="shared" si="8"/>
        <v>8</v>
      </c>
      <c r="F78" s="579" t="s">
        <v>468</v>
      </c>
      <c r="G78" s="553"/>
      <c r="H78" s="553"/>
    </row>
    <row r="79" spans="1:8" ht="15">
      <c r="A79" s="548" t="s">
        <v>469</v>
      </c>
      <c r="B79" s="552"/>
      <c r="C79" s="550" t="s">
        <v>382</v>
      </c>
      <c r="D79" s="546">
        <f ca="1" t="shared" si="7"/>
        <v>1</v>
      </c>
      <c r="E79" s="546">
        <f ca="1" t="shared" si="8"/>
        <v>7</v>
      </c>
      <c r="F79" s="579" t="s">
        <v>470</v>
      </c>
      <c r="G79" s="553"/>
      <c r="H79" s="553"/>
    </row>
    <row r="80" spans="1:6" ht="15">
      <c r="A80" s="593" t="s">
        <v>471</v>
      </c>
      <c r="B80" s="552"/>
      <c r="C80" s="550" t="s">
        <v>382</v>
      </c>
      <c r="D80" s="546">
        <f ca="1" t="shared" si="7"/>
        <v>1</v>
      </c>
      <c r="E80" s="546">
        <f ca="1" t="shared" si="8"/>
        <v>11</v>
      </c>
      <c r="F80" s="579" t="s">
        <v>472</v>
      </c>
    </row>
    <row r="81" spans="1:6" ht="15">
      <c r="A81" s="548" t="s">
        <v>473</v>
      </c>
      <c r="B81" s="552"/>
      <c r="C81" s="537" t="s">
        <v>382</v>
      </c>
      <c r="D81" s="546">
        <f ca="1" t="shared" si="7"/>
        <v>1</v>
      </c>
      <c r="E81" s="546">
        <f ca="1" t="shared" si="8"/>
        <v>47</v>
      </c>
      <c r="F81" s="579" t="s">
        <v>474</v>
      </c>
    </row>
    <row r="82" spans="1:8" ht="15">
      <c r="A82" s="548" t="s">
        <v>383</v>
      </c>
      <c r="B82" s="552"/>
      <c r="C82" s="550" t="s">
        <v>382</v>
      </c>
      <c r="D82" s="546">
        <v>1</v>
      </c>
      <c r="E82" s="546">
        <f ca="1" t="shared" si="8"/>
        <v>6</v>
      </c>
      <c r="F82" s="579" t="s">
        <v>384</v>
      </c>
      <c r="G82" s="553"/>
      <c r="H82" s="553"/>
    </row>
    <row r="83" spans="1:6" ht="15">
      <c r="A83" s="548" t="s">
        <v>475</v>
      </c>
      <c r="B83" s="552"/>
      <c r="C83" s="537" t="s">
        <v>382</v>
      </c>
      <c r="D83" s="546">
        <f aca="true" ca="1" t="shared" si="9" ref="D83:D89">ROW(INDIRECT(A83))</f>
        <v>1</v>
      </c>
      <c r="E83" s="546">
        <f ca="1" t="shared" si="8"/>
        <v>28</v>
      </c>
      <c r="F83" s="579" t="s">
        <v>476</v>
      </c>
    </row>
    <row r="84" spans="1:6" ht="15">
      <c r="A84" s="548" t="s">
        <v>477</v>
      </c>
      <c r="B84" s="552"/>
      <c r="C84" s="537" t="s">
        <v>382</v>
      </c>
      <c r="D84" s="546">
        <f ca="1" t="shared" si="9"/>
        <v>1</v>
      </c>
      <c r="E84" s="546">
        <f ca="1" t="shared" si="8"/>
        <v>12</v>
      </c>
      <c r="F84" s="579" t="s">
        <v>478</v>
      </c>
    </row>
    <row r="85" spans="1:6" ht="15">
      <c r="A85" s="593" t="s">
        <v>479</v>
      </c>
      <c r="B85" s="552"/>
      <c r="C85" s="550" t="s">
        <v>382</v>
      </c>
      <c r="D85" s="546">
        <f ca="1" t="shared" si="9"/>
        <v>1</v>
      </c>
      <c r="E85" s="546">
        <f ca="1" t="shared" si="8"/>
        <v>48</v>
      </c>
      <c r="F85" s="579" t="s">
        <v>480</v>
      </c>
    </row>
    <row r="86" spans="1:8" ht="15">
      <c r="A86" s="548" t="s">
        <v>481</v>
      </c>
      <c r="B86" s="552"/>
      <c r="C86" s="550" t="s">
        <v>382</v>
      </c>
      <c r="D86" s="546">
        <f ca="1" t="shared" si="9"/>
        <v>1</v>
      </c>
      <c r="E86" s="546">
        <f ca="1" t="shared" si="8"/>
        <v>49</v>
      </c>
      <c r="F86" s="579" t="s">
        <v>482</v>
      </c>
      <c r="G86" s="553"/>
      <c r="H86" s="553"/>
    </row>
    <row r="87" spans="1:8" ht="15">
      <c r="A87" s="548" t="s">
        <v>483</v>
      </c>
      <c r="B87" s="552"/>
      <c r="C87" s="550" t="s">
        <v>382</v>
      </c>
      <c r="D87" s="546">
        <f ca="1" t="shared" si="9"/>
        <v>1</v>
      </c>
      <c r="E87" s="546">
        <f ca="1" t="shared" si="8"/>
        <v>30</v>
      </c>
      <c r="F87" s="579" t="s">
        <v>484</v>
      </c>
      <c r="G87" s="553"/>
      <c r="H87" s="553"/>
    </row>
    <row r="88" spans="1:8" ht="15">
      <c r="A88" s="548" t="s">
        <v>485</v>
      </c>
      <c r="B88" s="552"/>
      <c r="C88" s="550" t="s">
        <v>382</v>
      </c>
      <c r="D88" s="546">
        <f ca="1" t="shared" si="9"/>
        <v>1</v>
      </c>
      <c r="E88" s="546">
        <f ca="1" t="shared" si="8"/>
        <v>9</v>
      </c>
      <c r="F88" s="579" t="s">
        <v>486</v>
      </c>
      <c r="G88" s="553"/>
      <c r="H88" s="553"/>
    </row>
    <row r="89" spans="1:6" ht="15">
      <c r="A89" s="548" t="s">
        <v>487</v>
      </c>
      <c r="B89" s="552"/>
      <c r="C89" s="537" t="s">
        <v>382</v>
      </c>
      <c r="D89" s="546">
        <f ca="1" t="shared" si="9"/>
        <v>1</v>
      </c>
      <c r="E89" s="546">
        <f ca="1" t="shared" si="8"/>
        <v>10</v>
      </c>
      <c r="F89" s="572" t="s">
        <v>488</v>
      </c>
    </row>
    <row r="90" spans="1:8" ht="15">
      <c r="A90" s="548" t="s">
        <v>385</v>
      </c>
      <c r="B90" s="552"/>
      <c r="C90" s="550" t="s">
        <v>382</v>
      </c>
      <c r="D90" s="546">
        <v>1</v>
      </c>
      <c r="E90" s="546">
        <f ca="1" t="shared" si="8"/>
        <v>4</v>
      </c>
      <c r="F90" s="579" t="s">
        <v>489</v>
      </c>
      <c r="G90" s="553"/>
      <c r="H90" s="553"/>
    </row>
    <row r="91" spans="1:8" ht="15">
      <c r="A91" s="548" t="s">
        <v>490</v>
      </c>
      <c r="B91" s="552"/>
      <c r="C91" s="550" t="s">
        <v>382</v>
      </c>
      <c r="D91" s="546">
        <f aca="true" ca="1" t="shared" si="10" ref="D91:D100">ROW(INDIRECT(A91))</f>
        <v>1</v>
      </c>
      <c r="E91" s="546">
        <f ca="1" t="shared" si="8"/>
        <v>6</v>
      </c>
      <c r="F91" s="579" t="s">
        <v>491</v>
      </c>
      <c r="G91" s="553"/>
      <c r="H91" s="553"/>
    </row>
    <row r="92" spans="1:8" ht="15.75">
      <c r="A92" s="548" t="s">
        <v>492</v>
      </c>
      <c r="B92" s="552"/>
      <c r="C92" s="550" t="s">
        <v>382</v>
      </c>
      <c r="D92" s="546">
        <f ca="1" t="shared" si="10"/>
        <v>1</v>
      </c>
      <c r="E92" s="546">
        <f ca="1" t="shared" si="8"/>
        <v>50</v>
      </c>
      <c r="F92" s="570" t="s">
        <v>493</v>
      </c>
      <c r="G92" s="553"/>
      <c r="H92" s="553"/>
    </row>
    <row r="93" spans="1:6" ht="15">
      <c r="A93" s="544" t="s">
        <v>494</v>
      </c>
      <c r="B93" s="545"/>
      <c r="C93" s="545" t="s">
        <v>494</v>
      </c>
      <c r="D93" s="546">
        <f ca="1" t="shared" si="10"/>
        <v>3</v>
      </c>
      <c r="E93" s="546">
        <f ca="1" t="shared" si="8"/>
        <v>1</v>
      </c>
      <c r="F93" s="547"/>
    </row>
    <row r="94" spans="1:6" ht="15">
      <c r="A94" s="548" t="s">
        <v>495</v>
      </c>
      <c r="B94" s="552"/>
      <c r="C94" s="550" t="s">
        <v>494</v>
      </c>
      <c r="D94" s="546">
        <f ca="1" t="shared" si="10"/>
        <v>1</v>
      </c>
      <c r="E94" s="546">
        <f ca="1" t="shared" si="8"/>
        <v>2</v>
      </c>
      <c r="F94" s="579" t="s">
        <v>496</v>
      </c>
    </row>
    <row r="95" spans="1:6" ht="15">
      <c r="A95" s="548" t="s">
        <v>497</v>
      </c>
      <c r="B95" s="552"/>
      <c r="C95" s="550" t="s">
        <v>494</v>
      </c>
      <c r="D95" s="546">
        <f ca="1" t="shared" si="10"/>
        <v>1</v>
      </c>
      <c r="E95" s="546">
        <f ca="1" t="shared" si="8"/>
        <v>12</v>
      </c>
      <c r="F95" s="579" t="s">
        <v>498</v>
      </c>
    </row>
    <row r="96" spans="1:6" ht="15">
      <c r="A96" s="548" t="s">
        <v>499</v>
      </c>
      <c r="B96" s="552"/>
      <c r="C96" s="550" t="s">
        <v>494</v>
      </c>
      <c r="D96" s="546">
        <f ca="1" t="shared" si="10"/>
        <v>1</v>
      </c>
      <c r="E96" s="546">
        <f ca="1" t="shared" si="8"/>
        <v>10</v>
      </c>
      <c r="F96" s="579" t="s">
        <v>500</v>
      </c>
    </row>
    <row r="97" spans="1:6" ht="15">
      <c r="A97" s="548" t="s">
        <v>501</v>
      </c>
      <c r="B97" s="552"/>
      <c r="C97" s="550" t="s">
        <v>494</v>
      </c>
      <c r="D97" s="546">
        <f ca="1" t="shared" si="10"/>
        <v>1</v>
      </c>
      <c r="E97" s="546">
        <f ca="1" t="shared" si="8"/>
        <v>17</v>
      </c>
      <c r="F97" s="579" t="s">
        <v>502</v>
      </c>
    </row>
    <row r="98" spans="1:6" ht="15">
      <c r="A98" s="548" t="s">
        <v>503</v>
      </c>
      <c r="B98" s="552"/>
      <c r="C98" s="550" t="s">
        <v>494</v>
      </c>
      <c r="D98" s="546">
        <f ca="1" t="shared" si="10"/>
        <v>1</v>
      </c>
      <c r="E98" s="546">
        <f ca="1" t="shared" si="8"/>
        <v>14</v>
      </c>
      <c r="F98" s="579" t="s">
        <v>504</v>
      </c>
    </row>
    <row r="99" spans="1:6" ht="15">
      <c r="A99" s="548" t="s">
        <v>505</v>
      </c>
      <c r="B99" s="552"/>
      <c r="C99" s="537" t="s">
        <v>494</v>
      </c>
      <c r="D99" s="546">
        <f ca="1" t="shared" si="10"/>
        <v>1</v>
      </c>
      <c r="E99" s="546">
        <f ca="1" t="shared" si="8"/>
        <v>18</v>
      </c>
      <c r="F99" s="570" t="s">
        <v>506</v>
      </c>
    </row>
    <row r="100" spans="1:6" ht="15.75">
      <c r="A100" s="573" t="s">
        <v>507</v>
      </c>
      <c r="B100" s="574"/>
      <c r="C100" s="594" t="s">
        <v>494</v>
      </c>
      <c r="D100" s="576">
        <f ca="1" t="shared" si="10"/>
        <v>1</v>
      </c>
      <c r="E100" s="576">
        <f ca="1" t="shared" si="8"/>
        <v>16</v>
      </c>
      <c r="F100" s="595" t="s">
        <v>508</v>
      </c>
    </row>
    <row r="101" ht="16.5" customHeight="1"/>
    <row r="102" spans="1:2" ht="15">
      <c r="A102" s="596"/>
      <c r="B102" s="546"/>
    </row>
    <row r="103" spans="1:2" ht="15">
      <c r="A103" s="596"/>
      <c r="B103" s="546"/>
    </row>
    <row r="104" spans="1:2" ht="15">
      <c r="A104" s="596"/>
      <c r="B104" s="546"/>
    </row>
    <row r="105" spans="1:2" ht="15">
      <c r="A105" s="596"/>
      <c r="B105" s="546"/>
    </row>
    <row r="106" spans="1:2" ht="15">
      <c r="A106" s="596"/>
      <c r="B106" s="546"/>
    </row>
  </sheetData>
  <sheetProtection password="88A3" sheet="1" objects="1" scenarios="1"/>
  <printOptions gridLines="1" horizontalCentered="1" verticalCentered="1"/>
  <pageMargins left="0.39375" right="0.39375" top="0.39305555555555555" bottom="0.39375" header="0.19652777777777777" footer="0.5118055555555555"/>
  <pageSetup fitToHeight="1" fitToWidth="1" horizontalDpi="300" verticalDpi="300" orientation="portrait" paperSize="9"/>
  <headerFooter alignWithMargins="0">
    <oddHeader>&amp;L&amp;F&amp;R&amp;A (&amp;P)</oddHeader>
  </headerFooter>
</worksheet>
</file>

<file path=xl/worksheets/sheet2.xml><?xml version="1.0" encoding="utf-8"?>
<worksheet xmlns="http://schemas.openxmlformats.org/spreadsheetml/2006/main" xmlns:r="http://schemas.openxmlformats.org/officeDocument/2006/relationships">
  <sheetPr>
    <tabColor indexed="9"/>
    <pageSetUpPr fitToPage="1"/>
  </sheetPr>
  <dimension ref="A1:H27"/>
  <sheetViews>
    <sheetView zoomScale="90" zoomScaleNormal="90" workbookViewId="0" topLeftCell="A1">
      <pane xSplit="1" ySplit="5" topLeftCell="B6" activePane="bottomRight" state="frozen"/>
      <selection pane="topLeft" activeCell="A1" sqref="A1"/>
      <selection pane="topRight" activeCell="B1" sqref="B1"/>
      <selection pane="bottomLeft" activeCell="A6" sqref="A6"/>
      <selection pane="bottomRight" activeCell="C12" sqref="C12"/>
    </sheetView>
  </sheetViews>
  <sheetFormatPr defaultColWidth="9.140625" defaultRowHeight="15"/>
  <cols>
    <col min="1" max="1" width="28.8515625" style="33" customWidth="1"/>
    <col min="2" max="2" width="23.00390625" style="34" customWidth="1"/>
    <col min="3" max="3" width="46.7109375" style="33" customWidth="1"/>
    <col min="4" max="4" width="15.57421875" style="35" customWidth="1"/>
    <col min="5" max="5" width="15.00390625" style="33" customWidth="1"/>
    <col min="6" max="16384" width="11.421875" style="33" customWidth="1"/>
  </cols>
  <sheetData>
    <row r="1" spans="1:6" s="39" customFormat="1" ht="39.75" customHeight="1">
      <c r="A1" s="36" t="s">
        <v>40</v>
      </c>
      <c r="B1" s="37" t="s">
        <v>41</v>
      </c>
      <c r="C1" s="37"/>
      <c r="D1" s="37"/>
      <c r="E1" s="37"/>
      <c r="F1" s="38"/>
    </row>
    <row r="2" spans="1:6" s="43" customFormat="1" ht="19.5" customHeight="1">
      <c r="A2" s="40" t="s">
        <v>42</v>
      </c>
      <c r="B2" s="41" t="s">
        <v>43</v>
      </c>
      <c r="C2" s="41"/>
      <c r="D2" s="41"/>
      <c r="E2" s="41"/>
      <c r="F2" s="42"/>
    </row>
    <row r="3" spans="1:8" s="43" customFormat="1" ht="30.75" customHeight="1">
      <c r="A3" s="40" t="s">
        <v>44</v>
      </c>
      <c r="B3" s="44" t="s">
        <v>45</v>
      </c>
      <c r="C3" s="45" t="s">
        <v>46</v>
      </c>
      <c r="H3" s="46"/>
    </row>
    <row r="4" spans="1:6" s="51" customFormat="1" ht="18.75">
      <c r="A4" s="47" t="s">
        <v>47</v>
      </c>
      <c r="B4" s="48">
        <f>MAX(Inscriptions_numéro)</f>
        <v>14</v>
      </c>
      <c r="C4" s="49"/>
      <c r="D4" s="49"/>
      <c r="E4" s="49"/>
      <c r="F4" s="50"/>
    </row>
    <row r="5" spans="1:6" s="51" customFormat="1" ht="19.5" customHeight="1">
      <c r="A5" s="52" t="s">
        <v>48</v>
      </c>
      <c r="B5" s="53">
        <f>SUM(Effectif)</f>
        <v>47</v>
      </c>
      <c r="C5" s="49"/>
      <c r="D5" s="49"/>
      <c r="E5" s="49"/>
      <c r="F5" s="50"/>
    </row>
    <row r="6" spans="1:6" s="58" customFormat="1" ht="26.25" customHeight="1">
      <c r="A6" s="40" t="s">
        <v>49</v>
      </c>
      <c r="B6" s="54">
        <v>13.3</v>
      </c>
      <c r="C6" s="55" t="s">
        <v>50</v>
      </c>
      <c r="D6" s="56">
        <f>MAX(0,Distance_effort_min-(Dénivelée/100))</f>
        <v>12.1</v>
      </c>
      <c r="E6" s="56">
        <f>Distance_effort_max-(Dénivelée/100)</f>
        <v>16.1</v>
      </c>
      <c r="F6" s="57"/>
    </row>
    <row r="7" spans="1:6" s="58" customFormat="1" ht="26.25">
      <c r="A7" s="59" t="s">
        <v>51</v>
      </c>
      <c r="B7" s="60">
        <v>390</v>
      </c>
      <c r="C7" s="55"/>
      <c r="D7" s="61">
        <f>MAX(0,(Distance_effort_min-Distance)*100)</f>
        <v>269.99999999999994</v>
      </c>
      <c r="E7" s="61">
        <f>(Distance_effort_max-Distance)*100</f>
        <v>669.9999999999999</v>
      </c>
      <c r="F7" s="57"/>
    </row>
    <row r="8" spans="1:6" s="58" customFormat="1" ht="27" customHeight="1">
      <c r="A8" s="59" t="s">
        <v>52</v>
      </c>
      <c r="B8" s="62">
        <v>4</v>
      </c>
      <c r="C8" s="63">
        <f>IF(Niveau="autre","le niveau 'autre' indique une dérogation au règlement national, cette épreuve ne peut être prise en compte pour le championnat","les valeurs incompatibles avec le règlement national sont signalées en rouge sur fond noir")</f>
        <v>0</v>
      </c>
      <c r="D8" s="64">
        <f>Vitesse_min</f>
        <v>4</v>
      </c>
      <c r="E8" s="64">
        <f>Vitesse_max</f>
        <v>4</v>
      </c>
      <c r="F8" s="57"/>
    </row>
    <row r="9" spans="1:6" s="58" customFormat="1" ht="27">
      <c r="A9" s="59" t="s">
        <v>53</v>
      </c>
      <c r="B9" s="65">
        <v>45</v>
      </c>
      <c r="C9" s="63"/>
      <c r="D9" s="66">
        <f>Forfait_min</f>
        <v>45</v>
      </c>
      <c r="E9" s="66">
        <f>Forfait_max</f>
        <v>45</v>
      </c>
      <c r="F9" s="57"/>
    </row>
    <row r="10" spans="1:6" s="58" customFormat="1" ht="26.25">
      <c r="A10" s="59" t="s">
        <v>54</v>
      </c>
      <c r="B10" s="67">
        <v>13</v>
      </c>
      <c r="C10" s="63"/>
      <c r="D10" s="66">
        <f>Nombre_bornes_min</f>
        <v>12</v>
      </c>
      <c r="E10" s="66">
        <f>Nombre_bornes_max</f>
        <v>15</v>
      </c>
      <c r="F10" s="57"/>
    </row>
    <row r="11" spans="1:6" s="58" customFormat="1" ht="26.25">
      <c r="A11" s="59" t="s">
        <v>55</v>
      </c>
      <c r="B11" s="68">
        <v>0.3541666666666667</v>
      </c>
      <c r="C11" s="69" t="s">
        <v>56</v>
      </c>
      <c r="D11" s="70">
        <f>0/24</f>
        <v>0</v>
      </c>
      <c r="E11" s="71">
        <f>18/24</f>
        <v>0.75</v>
      </c>
      <c r="F11" s="57"/>
    </row>
    <row r="12" spans="1:6" s="51" customFormat="1" ht="30.75">
      <c r="A12" s="59" t="s">
        <v>57</v>
      </c>
      <c r="B12" s="68">
        <v>0.6875</v>
      </c>
      <c r="C12" s="72" t="s">
        <v>58</v>
      </c>
      <c r="D12" s="70">
        <f>Début_épreuve+Temps_référence_min</f>
        <v>0.5520833333333334</v>
      </c>
      <c r="E12" s="71">
        <f>Dernier_départ+MAX(Temps_référence_max,6/24)</f>
        <v>0.6493055555555556</v>
      </c>
      <c r="F12" s="50"/>
    </row>
    <row r="13" spans="1:8" s="58" customFormat="1" ht="30.75">
      <c r="A13" s="59" t="s">
        <v>59</v>
      </c>
      <c r="B13" s="65">
        <v>5</v>
      </c>
      <c r="C13" s="73" t="s">
        <v>60</v>
      </c>
      <c r="D13" s="74">
        <f>Intervalle_min</f>
        <v>2</v>
      </c>
      <c r="E13" s="75">
        <f>IF(équipes_inscrites&gt;2,INT(150/(équipes_inscrites-1)),20)</f>
        <v>11</v>
      </c>
      <c r="F13" s="57"/>
      <c r="H13" s="76"/>
    </row>
    <row r="14" spans="1:8" s="58" customFormat="1" ht="21.75" customHeight="1">
      <c r="A14" s="77" t="s">
        <v>61</v>
      </c>
      <c r="B14" s="78"/>
      <c r="C14" s="79">
        <f ca="1">IF(B14="","&lt;== l'arbitre validant les données du parcours indique son nom ici",NOW())</f>
        <v>0</v>
      </c>
      <c r="D14" s="80"/>
      <c r="E14" s="80"/>
      <c r="F14" s="81"/>
      <c r="G14" s="81"/>
      <c r="H14" s="81"/>
    </row>
    <row r="15" spans="1:6" s="51" customFormat="1" ht="24.75" customHeight="1">
      <c r="A15" s="47" t="s">
        <v>62</v>
      </c>
      <c r="B15" s="48">
        <f>COUNTIF(Dossard,"&gt;0")</f>
        <v>13</v>
      </c>
      <c r="C15" s="82" t="s">
        <v>63</v>
      </c>
      <c r="D15" s="83"/>
      <c r="E15" s="50"/>
      <c r="F15" s="50"/>
    </row>
    <row r="16" spans="1:6" s="51" customFormat="1" ht="24.75" customHeight="1">
      <c r="A16" s="47" t="s">
        <v>64</v>
      </c>
      <c r="B16" s="48">
        <f>SUM(Départs_effectif)</f>
        <v>47</v>
      </c>
      <c r="C16" s="82"/>
      <c r="D16" s="83"/>
      <c r="E16" s="50"/>
      <c r="F16" s="50"/>
    </row>
    <row r="17" spans="1:6" s="58" customFormat="1" ht="24.75" customHeight="1">
      <c r="A17" s="47" t="s">
        <v>65</v>
      </c>
      <c r="B17" s="84">
        <f>MIN(Début_épreuve,Heure_départ)</f>
        <v>0.3541666666666667</v>
      </c>
      <c r="C17" s="82"/>
      <c r="D17" s="85" t="s">
        <v>66</v>
      </c>
      <c r="E17" s="85" t="s">
        <v>67</v>
      </c>
      <c r="F17" s="57"/>
    </row>
    <row r="18" spans="1:6" s="58" customFormat="1" ht="24.75" customHeight="1">
      <c r="A18" s="47" t="s">
        <v>68</v>
      </c>
      <c r="B18" s="84">
        <f>MAX(Début_épreuve,Heure_départ)</f>
        <v>0.3993055555555556</v>
      </c>
      <c r="C18" s="82"/>
      <c r="D18" s="86">
        <f>Dernier_départ-Premier_départ</f>
        <v>0.04513888888888889</v>
      </c>
      <c r="E18" s="87">
        <f>Amplitude_max</f>
        <v>0.10416666666666667</v>
      </c>
      <c r="F18" s="88"/>
    </row>
    <row r="19" spans="1:5" ht="24.75" customHeight="1">
      <c r="A19" s="89" t="s">
        <v>69</v>
      </c>
      <c r="B19" s="90">
        <f>Dénivelée/100</f>
        <v>3.9</v>
      </c>
      <c r="C19" s="91" t="s">
        <v>70</v>
      </c>
      <c r="D19" s="83"/>
      <c r="E19" s="50"/>
    </row>
    <row r="20" spans="1:5" ht="24.75" customHeight="1">
      <c r="A20" s="89" t="s">
        <v>71</v>
      </c>
      <c r="B20" s="90">
        <f>SUM(Distance,Dénivelée_effort)</f>
        <v>17.2</v>
      </c>
      <c r="C20" s="91"/>
      <c r="D20" s="92">
        <f>Distance_effort_min</f>
        <v>16</v>
      </c>
      <c r="E20" s="92">
        <f>Distance_effort_max</f>
        <v>20</v>
      </c>
    </row>
    <row r="21" spans="1:5" ht="24.75" customHeight="1">
      <c r="A21" s="89" t="s">
        <v>72</v>
      </c>
      <c r="B21" s="90">
        <f>Distance_effort/Vitesse</f>
        <v>4.3</v>
      </c>
      <c r="C21" s="91"/>
      <c r="D21" s="93">
        <f>D20/Vitesse</f>
        <v>4</v>
      </c>
      <c r="E21" s="93">
        <f>E20/Vitesse</f>
        <v>5</v>
      </c>
    </row>
    <row r="22" spans="1:5" ht="24.75" customHeight="1">
      <c r="A22" s="89" t="s">
        <v>73</v>
      </c>
      <c r="B22" s="90">
        <f>Parcours__heures*60</f>
        <v>258</v>
      </c>
      <c r="C22" s="91"/>
      <c r="D22" s="94">
        <f>D21*60</f>
        <v>240</v>
      </c>
      <c r="E22" s="94">
        <f>E21*60</f>
        <v>300</v>
      </c>
    </row>
    <row r="23" spans="1:5" ht="24.75" customHeight="1">
      <c r="A23" s="89" t="s">
        <v>74</v>
      </c>
      <c r="B23" s="90">
        <f>INT(Parcours__minutes+Forfait__minutes)</f>
        <v>303</v>
      </c>
      <c r="C23" s="91"/>
      <c r="D23" s="94">
        <f>INT(D22+Forfait__minutes)</f>
        <v>285</v>
      </c>
      <c r="E23" s="94">
        <f>INT(E22+Forfait__minutes)</f>
        <v>345</v>
      </c>
    </row>
    <row r="24" spans="1:5" ht="34.5" customHeight="1">
      <c r="A24" s="95" t="s">
        <v>75</v>
      </c>
      <c r="B24" s="96">
        <f>Temps_total_en_minutes/1440</f>
        <v>0.21041666666666667</v>
      </c>
      <c r="C24" s="91" t="s">
        <v>76</v>
      </c>
      <c r="D24" s="97">
        <f>D23/1440</f>
        <v>0.19791666666666666</v>
      </c>
      <c r="E24" s="97">
        <f>E23/1440</f>
        <v>0.23958333333333334</v>
      </c>
    </row>
    <row r="25" spans="2:5" ht="15">
      <c r="B25" s="98" t="s">
        <v>45</v>
      </c>
      <c r="C25" s="99" t="s">
        <v>77</v>
      </c>
      <c r="D25" s="100"/>
      <c r="E25" s="100"/>
    </row>
    <row r="26" spans="2:3" ht="15">
      <c r="B26" s="101" t="s">
        <v>78</v>
      </c>
      <c r="C26" s="33" t="s">
        <v>79</v>
      </c>
    </row>
    <row r="27" spans="2:3" ht="15" customHeight="1">
      <c r="B27" s="102" t="s">
        <v>80</v>
      </c>
      <c r="C27" s="33" t="s">
        <v>81</v>
      </c>
    </row>
  </sheetData>
  <sheetProtection password="88A3" sheet="1"/>
  <mergeCells count="7">
    <mergeCell ref="B1:E1"/>
    <mergeCell ref="B2:E2"/>
    <mergeCell ref="C4:E5"/>
    <mergeCell ref="C6:C7"/>
    <mergeCell ref="C8:C10"/>
    <mergeCell ref="C15:C18"/>
    <mergeCell ref="C19:C23"/>
  </mergeCells>
  <conditionalFormatting sqref="B8">
    <cfRule type="cellIs" priority="1" dxfId="0" operator="notBetween" stopIfTrue="1">
      <formula>$D$8</formula>
      <formula>$E$8</formula>
    </cfRule>
  </conditionalFormatting>
  <conditionalFormatting sqref="B9">
    <cfRule type="cellIs" priority="2" dxfId="0" operator="notBetween" stopIfTrue="1">
      <formula>$D$9</formula>
      <formula>$E$9</formula>
    </cfRule>
  </conditionalFormatting>
  <conditionalFormatting sqref="B11">
    <cfRule type="cellIs" priority="3" dxfId="0" operator="notBetween" stopIfTrue="1">
      <formula>$D$11</formula>
      <formula>$E$11</formula>
    </cfRule>
  </conditionalFormatting>
  <conditionalFormatting sqref="B13">
    <cfRule type="cellIs" priority="4" dxfId="0" operator="notBetween" stopIfTrue="1">
      <formula>$D$13</formula>
      <formula>$E$13</formula>
    </cfRule>
  </conditionalFormatting>
  <conditionalFormatting sqref="D24:E24 B24">
    <cfRule type="cellIs" priority="5" dxfId="1" operator="notBetween" stopIfTrue="1">
      <formula>$D$24</formula>
      <formula>$E$24</formula>
    </cfRule>
  </conditionalFormatting>
  <conditionalFormatting sqref="D18">
    <cfRule type="cellIs" priority="6" dxfId="0" operator="greaterThan" stopIfTrue="1">
      <formula>$E$18</formula>
    </cfRule>
  </conditionalFormatting>
  <conditionalFormatting sqref="B20">
    <cfRule type="cellIs" priority="7" dxfId="1" operator="notBetween" stopIfTrue="1">
      <formula>$D$20</formula>
      <formula>$E$20</formula>
    </cfRule>
  </conditionalFormatting>
  <conditionalFormatting sqref="B12">
    <cfRule type="cellIs" priority="8" dxfId="0" operator="lessThan" stopIfTrue="1">
      <formula>$D$12</formula>
    </cfRule>
    <cfRule type="cellIs" priority="9" dxfId="0" operator="greaterThan" stopIfTrue="1">
      <formula>$E$12</formula>
    </cfRule>
  </conditionalFormatting>
  <conditionalFormatting sqref="B3">
    <cfRule type="cellIs" priority="10" dxfId="2" operator="equal" stopIfTrue="1">
      <formula>"autre"</formula>
    </cfRule>
  </conditionalFormatting>
  <conditionalFormatting sqref="C14:E14">
    <cfRule type="expression" priority="11" dxfId="3" stopIfTrue="1">
      <formula>ISBLANK($B$14)</formula>
    </cfRule>
  </conditionalFormatting>
  <conditionalFormatting sqref="B6">
    <cfRule type="expression" priority="12" dxfId="4" stopIfTrue="1">
      <formula>ISBLANK($B$6)</formula>
    </cfRule>
    <cfRule type="cellIs" priority="13" dxfId="0" operator="notBetween" stopIfTrue="1">
      <formula>$D$6</formula>
      <formula>$E$6</formula>
    </cfRule>
  </conditionalFormatting>
  <conditionalFormatting sqref="B7">
    <cfRule type="expression" priority="14" dxfId="4" stopIfTrue="1">
      <formula>ISBLANK($B$7)</formula>
    </cfRule>
    <cfRule type="cellIs" priority="15" dxfId="0" operator="notBetween" stopIfTrue="1">
      <formula>$D$7</formula>
      <formula>$E$7</formula>
    </cfRule>
  </conditionalFormatting>
  <conditionalFormatting sqref="B10">
    <cfRule type="expression" priority="16" dxfId="4" stopIfTrue="1">
      <formula>ISBLANK($B$10)</formula>
    </cfRule>
    <cfRule type="cellIs" priority="17" dxfId="0" operator="notBetween" stopIfTrue="1">
      <formula>$D$10</formula>
      <formula>$E$10</formula>
    </cfRule>
  </conditionalFormatting>
  <conditionalFormatting sqref="C8:C10">
    <cfRule type="expression" priority="18" dxfId="5" stopIfTrue="1">
      <formula>(Niveau="autre")</formula>
    </cfRule>
  </conditionalFormatting>
  <conditionalFormatting sqref="B6">
    <cfRule type="expression" priority="19" dxfId="4" stopIfTrue="1">
      <formula>ISBLANK($B$6)</formula>
    </cfRule>
    <cfRule type="cellIs" priority="20" dxfId="0" operator="notBetween" stopIfTrue="1">
      <formula>$D$6</formula>
      <formula>$E$6</formula>
    </cfRule>
  </conditionalFormatting>
  <conditionalFormatting sqref="B7">
    <cfRule type="expression" priority="21" dxfId="4" stopIfTrue="1">
      <formula>ISBLANK($B$7)</formula>
    </cfRule>
    <cfRule type="cellIs" priority="22" dxfId="0" operator="notBetween" stopIfTrue="1">
      <formula>$D$7</formula>
      <formula>$E$7</formula>
    </cfRule>
  </conditionalFormatting>
  <dataValidations count="4">
    <dataValidation showErrorMessage="1" error="entrez l'heure de départ sous la forme h:mm (à partir de 8:00)" sqref="B17:B18">
      <formula1>0</formula1>
      <formula2>0</formula2>
    </dataValidation>
    <dataValidation errorStyle="warning" allowBlank="1" showErrorMessage="1" error="format incorrect ou valeur hors limites (bornes en colonne D et E)" sqref="B6 B8:B14 C14">
      <formula1>0</formula1>
      <formula2>0</formula2>
    </dataValidation>
    <dataValidation errorStyle="warning" allowBlank="1" showErrorMessage="1" error="valeur ou format incorrect" sqref="B7">
      <formula1>0</formula1>
      <formula2>0</formula2>
    </dataValidation>
    <dataValidation type="list" allowBlank="1" showErrorMessage="1" sqref="B3">
      <formula1>$B$25:$B$27</formula1>
      <formula2>0</formula2>
    </dataValidation>
  </dataValidations>
  <printOptions horizontalCentered="1" verticalCentered="1"/>
  <pageMargins left="0.19652777777777777" right="0.19652777777777777" top="0.19652777777777777" bottom="0.19652777777777777" header="0.19652777777777777" footer="0.5118055555555555"/>
  <pageSetup fitToHeight="1" fitToWidth="1" horizontalDpi="300" verticalDpi="300" orientation="landscape" paperSize="9"/>
  <headerFooter alignWithMargins="0">
    <oddHeader>&amp;L&amp;F&amp;R&amp;A</oddHeader>
  </headerFooter>
</worksheet>
</file>

<file path=xl/worksheets/sheet3.xml><?xml version="1.0" encoding="utf-8"?>
<worksheet xmlns="http://schemas.openxmlformats.org/spreadsheetml/2006/main" xmlns:r="http://schemas.openxmlformats.org/officeDocument/2006/relationships">
  <sheetPr>
    <tabColor indexed="9"/>
    <pageSetUpPr fitToPage="1"/>
  </sheetPr>
  <dimension ref="A1:U67"/>
  <sheetViews>
    <sheetView zoomScale="90" zoomScaleNormal="90" zoomScaleSheetLayoutView="57" workbookViewId="0" topLeftCell="A1">
      <pane xSplit="1" ySplit="3" topLeftCell="H4" activePane="bottomRight" state="frozen"/>
      <selection pane="topLeft" activeCell="A1" sqref="A1"/>
      <selection pane="topRight" activeCell="H1" sqref="H1"/>
      <selection pane="bottomLeft" activeCell="A4" sqref="A4"/>
      <selection pane="bottomRight" activeCell="M9" sqref="M9"/>
    </sheetView>
  </sheetViews>
  <sheetFormatPr defaultColWidth="9.140625" defaultRowHeight="15"/>
  <cols>
    <col min="1" max="1" width="24.140625" style="103" customWidth="1"/>
    <col min="2" max="2" width="8.00390625" style="104" customWidth="1"/>
    <col min="3" max="3" width="49.140625" style="105" customWidth="1"/>
    <col min="4" max="4" width="33.8515625" style="103" customWidth="1"/>
    <col min="5" max="5" width="22.57421875" style="103" customWidth="1"/>
    <col min="6" max="6" width="10.7109375" style="106" customWidth="1"/>
    <col min="7" max="7" width="14.7109375" style="104" customWidth="1"/>
    <col min="8" max="8" width="28.00390625" style="103" customWidth="1"/>
    <col min="9" max="9" width="20.7109375" style="103" customWidth="1"/>
    <col min="10" max="10" width="11.57421875" style="107" customWidth="1"/>
    <col min="11" max="11" width="20.7109375" style="103" customWidth="1"/>
    <col min="12" max="12" width="10.7109375" style="104" customWidth="1"/>
    <col min="13" max="13" width="20.7109375" style="103" customWidth="1"/>
    <col min="14" max="14" width="10.7109375" style="104" customWidth="1"/>
    <col min="15" max="16" width="20.7109375" style="103" customWidth="1"/>
    <col min="17" max="17" width="39.7109375" style="104" customWidth="1"/>
    <col min="18" max="18" width="3.57421875" style="108" customWidth="1"/>
    <col min="19" max="19" width="4.28125" style="109" customWidth="1"/>
    <col min="20" max="20" width="18.00390625" style="110" customWidth="1"/>
    <col min="21" max="21" width="19.7109375" style="110" customWidth="1"/>
    <col min="22" max="16384" width="11.421875" style="104" customWidth="1"/>
  </cols>
  <sheetData>
    <row r="1" spans="1:21" s="117" customFormat="1" ht="24.75" customHeight="1">
      <c r="A1" s="111" t="s">
        <v>82</v>
      </c>
      <c r="B1" s="112">
        <f>Parcours!$B1</f>
        <v>0</v>
      </c>
      <c r="C1" s="113"/>
      <c r="D1" s="114"/>
      <c r="E1" s="114"/>
      <c r="F1" s="115"/>
      <c r="G1" s="114"/>
      <c r="H1" s="114"/>
      <c r="I1" s="114">
        <f>Parcours!$B1</f>
        <v>0</v>
      </c>
      <c r="J1" s="116"/>
      <c r="K1" s="114"/>
      <c r="L1" s="114"/>
      <c r="M1" s="114"/>
      <c r="N1" s="114"/>
      <c r="O1" s="114"/>
      <c r="P1" s="114"/>
      <c r="R1" s="118"/>
      <c r="S1" s="119"/>
      <c r="T1" s="120"/>
      <c r="U1" s="120"/>
    </row>
    <row r="2" spans="1:21" s="123" customFormat="1" ht="24.75" customHeight="1">
      <c r="A2" s="111">
        <f>Niveau</f>
        <v>0</v>
      </c>
      <c r="B2" s="112">
        <f>Parcours!$B2</f>
        <v>0</v>
      </c>
      <c r="C2" s="121"/>
      <c r="D2" s="122"/>
      <c r="E2" s="42"/>
      <c r="F2" s="115"/>
      <c r="G2" s="42"/>
      <c r="H2" s="42"/>
      <c r="I2" s="114">
        <f>Parcours!$B2</f>
        <v>0</v>
      </c>
      <c r="J2" s="116"/>
      <c r="K2" s="42"/>
      <c r="L2" s="42"/>
      <c r="M2" s="42"/>
      <c r="N2" s="42"/>
      <c r="O2" s="42"/>
      <c r="P2" s="42"/>
      <c r="R2" s="122"/>
      <c r="S2" s="124"/>
      <c r="T2" s="125"/>
      <c r="U2" s="125"/>
    </row>
    <row r="3" spans="1:21" s="136" customFormat="1" ht="27.75" customHeight="1">
      <c r="A3" s="126" t="s">
        <v>83</v>
      </c>
      <c r="B3" s="127" t="s">
        <v>84</v>
      </c>
      <c r="C3" s="128" t="s">
        <v>85</v>
      </c>
      <c r="D3" s="129" t="s">
        <v>86</v>
      </c>
      <c r="E3" s="129" t="s">
        <v>87</v>
      </c>
      <c r="F3" s="130" t="s">
        <v>88</v>
      </c>
      <c r="G3" s="131" t="s">
        <v>89</v>
      </c>
      <c r="H3" s="131" t="s">
        <v>90</v>
      </c>
      <c r="I3" s="129" t="s">
        <v>91</v>
      </c>
      <c r="J3" s="130" t="s">
        <v>88</v>
      </c>
      <c r="K3" s="129" t="s">
        <v>92</v>
      </c>
      <c r="L3" s="130" t="s">
        <v>88</v>
      </c>
      <c r="M3" s="129" t="s">
        <v>93</v>
      </c>
      <c r="N3" s="130" t="s">
        <v>88</v>
      </c>
      <c r="O3" s="129" t="s">
        <v>94</v>
      </c>
      <c r="P3" s="129" t="s">
        <v>95</v>
      </c>
      <c r="Q3" s="132" t="s">
        <v>96</v>
      </c>
      <c r="R3" s="133" t="s">
        <v>97</v>
      </c>
      <c r="S3" s="134" t="s">
        <v>98</v>
      </c>
      <c r="T3" s="135" t="s">
        <v>99</v>
      </c>
      <c r="U3" s="135" t="s">
        <v>100</v>
      </c>
    </row>
    <row r="4" spans="1:21" s="145" customFormat="1" ht="27.75" customHeight="1">
      <c r="A4" s="137" t="s">
        <v>101</v>
      </c>
      <c r="B4" s="138"/>
      <c r="C4" s="139" t="s">
        <v>102</v>
      </c>
      <c r="D4" s="140"/>
      <c r="E4" s="137" t="s">
        <v>101</v>
      </c>
      <c r="F4" s="140" t="s">
        <v>103</v>
      </c>
      <c r="G4" s="141">
        <v>689887857</v>
      </c>
      <c r="H4" s="137" t="s">
        <v>104</v>
      </c>
      <c r="I4" s="137" t="s">
        <v>105</v>
      </c>
      <c r="J4" s="140" t="s">
        <v>106</v>
      </c>
      <c r="K4" s="140" t="s">
        <v>107</v>
      </c>
      <c r="L4" s="140" t="s">
        <v>108</v>
      </c>
      <c r="M4" s="140" t="s">
        <v>109</v>
      </c>
      <c r="N4" s="137" t="s">
        <v>110</v>
      </c>
      <c r="O4" s="142"/>
      <c r="P4" s="142"/>
      <c r="Q4" s="142"/>
      <c r="R4" s="143">
        <f aca="true" t="shared" si="0" ref="R4:R63">IF(A4="","",ROW()-3)</f>
        <v>1</v>
      </c>
      <c r="S4" s="143">
        <f aca="true" t="shared" si="1" ref="S4:S6">IF(ISBLANK(A4),"",COUNTA(E4,I4,K4,M4,O4,P4))</f>
        <v>4</v>
      </c>
      <c r="T4" s="143">
        <f aca="true" t="shared" si="2" ref="T4:T6">IF(ISBLANK(A4),"",IF(ISNUMBER(B4)=FALSE,"non (club)",IF(OR(S4&lt;2,S4&gt;4),"non (effectif)",IF(COUNTA(F4,J4,L4,N4)&lt;&gt;S4,"non (licences)","oui"))))</f>
        <v>0</v>
      </c>
      <c r="U4" s="144">
        <f aca="true" t="shared" si="3" ref="U4:U63">IF(B4&lt;&gt;"",TEXT(B4,"00000")&amp;"-"&amp;F4,"")</f>
        <v>0</v>
      </c>
    </row>
    <row r="5" spans="1:21" s="145" customFormat="1" ht="27.75" customHeight="1">
      <c r="A5" s="146" t="s">
        <v>111</v>
      </c>
      <c r="B5" s="147"/>
      <c r="C5" s="146" t="s">
        <v>112</v>
      </c>
      <c r="D5" s="148"/>
      <c r="E5" s="146" t="s">
        <v>113</v>
      </c>
      <c r="F5" s="148" t="s">
        <v>114</v>
      </c>
      <c r="G5" s="149">
        <v>623354112</v>
      </c>
      <c r="H5" s="146" t="s">
        <v>115</v>
      </c>
      <c r="I5" s="146" t="s">
        <v>116</v>
      </c>
      <c r="J5" s="148" t="s">
        <v>117</v>
      </c>
      <c r="K5" s="148" t="s">
        <v>118</v>
      </c>
      <c r="L5" s="148" t="s">
        <v>119</v>
      </c>
      <c r="M5" s="148"/>
      <c r="N5" s="148"/>
      <c r="O5" s="150"/>
      <c r="P5" s="150"/>
      <c r="Q5" s="150"/>
      <c r="R5" s="143">
        <f t="shared" si="0"/>
        <v>2</v>
      </c>
      <c r="S5" s="143">
        <f t="shared" si="1"/>
        <v>3</v>
      </c>
      <c r="T5" s="143">
        <f t="shared" si="2"/>
        <v>0</v>
      </c>
      <c r="U5" s="144">
        <f t="shared" si="3"/>
        <v>0</v>
      </c>
    </row>
    <row r="6" spans="1:21" s="145" customFormat="1" ht="27.75" customHeight="1">
      <c r="A6" s="146" t="s">
        <v>120</v>
      </c>
      <c r="B6" s="147"/>
      <c r="C6" s="146" t="s">
        <v>121</v>
      </c>
      <c r="D6" s="148"/>
      <c r="E6" s="146" t="s">
        <v>122</v>
      </c>
      <c r="F6" s="148" t="s">
        <v>123</v>
      </c>
      <c r="G6" s="149">
        <v>685524951</v>
      </c>
      <c r="H6" s="146" t="s">
        <v>124</v>
      </c>
      <c r="I6" s="146" t="s">
        <v>125</v>
      </c>
      <c r="J6" s="148" t="s">
        <v>126</v>
      </c>
      <c r="K6" s="148" t="s">
        <v>127</v>
      </c>
      <c r="L6" s="148" t="s">
        <v>128</v>
      </c>
      <c r="M6" s="148" t="s">
        <v>129</v>
      </c>
      <c r="N6" s="148" t="s">
        <v>130</v>
      </c>
      <c r="O6" s="150"/>
      <c r="P6" s="150"/>
      <c r="Q6" s="150"/>
      <c r="R6" s="143">
        <f t="shared" si="0"/>
        <v>3</v>
      </c>
      <c r="S6" s="143">
        <f t="shared" si="1"/>
        <v>4</v>
      </c>
      <c r="T6" s="143">
        <f t="shared" si="2"/>
        <v>0</v>
      </c>
      <c r="U6" s="144">
        <f t="shared" si="3"/>
        <v>0</v>
      </c>
    </row>
    <row r="7" spans="1:21" s="145" customFormat="1" ht="27.75" customHeight="1">
      <c r="A7" s="146" t="s">
        <v>131</v>
      </c>
      <c r="B7" s="147"/>
      <c r="C7" s="146" t="s">
        <v>132</v>
      </c>
      <c r="D7" s="148"/>
      <c r="E7" s="146" t="s">
        <v>133</v>
      </c>
      <c r="F7" s="148" t="s">
        <v>134</v>
      </c>
      <c r="G7" s="149">
        <v>622983123</v>
      </c>
      <c r="H7" s="146" t="s">
        <v>135</v>
      </c>
      <c r="I7" s="146" t="s">
        <v>136</v>
      </c>
      <c r="J7" s="148" t="s">
        <v>137</v>
      </c>
      <c r="K7" s="148" t="s">
        <v>138</v>
      </c>
      <c r="L7" s="148" t="s">
        <v>139</v>
      </c>
      <c r="M7" s="151"/>
      <c r="N7" s="151"/>
      <c r="O7" s="150"/>
      <c r="P7" s="150"/>
      <c r="Q7" s="150"/>
      <c r="R7" s="143">
        <f t="shared" si="0"/>
        <v>4</v>
      </c>
      <c r="S7" s="143">
        <f>IF(ISBLANK(A7),"",COUNTA(E7,I7,I15,K7,O7,P7))</f>
        <v>4</v>
      </c>
      <c r="T7" s="143">
        <f>IF(ISBLANK(A7),"",IF(ISNUMBER(B7)=FALSE,"non (club)",IF(OR(S7&lt;2,S7&gt;4),"non (effectif)",IF(COUNTA(F7,J7,J15,L7)&lt;&gt;S7,"non (licences)","oui"))))</f>
        <v>0</v>
      </c>
      <c r="U7" s="144">
        <f t="shared" si="3"/>
        <v>0</v>
      </c>
    </row>
    <row r="8" spans="1:21" s="145" customFormat="1" ht="27.75" customHeight="1">
      <c r="A8" s="146" t="s">
        <v>140</v>
      </c>
      <c r="B8" s="147"/>
      <c r="C8" s="146" t="s">
        <v>141</v>
      </c>
      <c r="D8" s="148"/>
      <c r="E8" s="146" t="s">
        <v>142</v>
      </c>
      <c r="F8" s="148" t="s">
        <v>143</v>
      </c>
      <c r="G8" s="149">
        <v>782840330</v>
      </c>
      <c r="H8" s="146" t="s">
        <v>144</v>
      </c>
      <c r="I8" s="146" t="s">
        <v>145</v>
      </c>
      <c r="J8" s="148" t="s">
        <v>146</v>
      </c>
      <c r="K8" s="148" t="s">
        <v>147</v>
      </c>
      <c r="L8" s="148" t="s">
        <v>148</v>
      </c>
      <c r="M8" s="148"/>
      <c r="N8" s="148"/>
      <c r="O8" s="150"/>
      <c r="P8" s="150"/>
      <c r="Q8" s="150"/>
      <c r="R8" s="143">
        <f t="shared" si="0"/>
        <v>5</v>
      </c>
      <c r="S8" s="143">
        <f aca="true" t="shared" si="4" ref="S8:S63">IF(ISBLANK(A8),"",COUNTA(E8,I8,K8,M8,O8,P8))</f>
        <v>3</v>
      </c>
      <c r="T8" s="143">
        <f aca="true" t="shared" si="5" ref="T8:T63">IF(ISBLANK(A8),"",IF(ISNUMBER(B8)=FALSE,"non (club)",IF(OR(S8&lt;2,S8&gt;4),"non (effectif)",IF(COUNTA(F8,J8,L8,N8)&lt;&gt;S8,"non (licences)","oui"))))</f>
        <v>0</v>
      </c>
      <c r="U8" s="144">
        <f t="shared" si="3"/>
        <v>0</v>
      </c>
    </row>
    <row r="9" spans="1:21" s="145" customFormat="1" ht="27.75" customHeight="1">
      <c r="A9" s="146"/>
      <c r="B9" s="147"/>
      <c r="C9" s="146"/>
      <c r="D9" s="148"/>
      <c r="E9" s="146"/>
      <c r="F9" s="148"/>
      <c r="G9" s="149"/>
      <c r="H9" s="146"/>
      <c r="I9" s="146"/>
      <c r="J9" s="148"/>
      <c r="K9" s="148"/>
      <c r="L9" s="148"/>
      <c r="M9" s="148"/>
      <c r="N9" s="148"/>
      <c r="O9" s="150"/>
      <c r="P9" s="150"/>
      <c r="Q9" s="150"/>
      <c r="R9" s="143">
        <f t="shared" si="0"/>
        <v>0</v>
      </c>
      <c r="S9" s="143">
        <f t="shared" si="4"/>
        <v>0</v>
      </c>
      <c r="T9" s="143">
        <f t="shared" si="5"/>
        <v>0</v>
      </c>
      <c r="U9" s="144">
        <f t="shared" si="3"/>
        <v>0</v>
      </c>
    </row>
    <row r="10" spans="1:21" s="145" customFormat="1" ht="27.75" customHeight="1">
      <c r="A10" s="152" t="s">
        <v>149</v>
      </c>
      <c r="B10" s="153"/>
      <c r="C10" s="154" t="s">
        <v>132</v>
      </c>
      <c r="D10" s="155"/>
      <c r="E10" s="154" t="s">
        <v>150</v>
      </c>
      <c r="F10" s="156" t="s">
        <v>151</v>
      </c>
      <c r="G10" s="149">
        <v>683738358</v>
      </c>
      <c r="H10" s="154" t="s">
        <v>152</v>
      </c>
      <c r="I10" s="154" t="s">
        <v>153</v>
      </c>
      <c r="J10" s="156" t="s">
        <v>154</v>
      </c>
      <c r="K10" s="157" t="s">
        <v>155</v>
      </c>
      <c r="L10" s="156" t="s">
        <v>156</v>
      </c>
      <c r="M10" s="150" t="s">
        <v>157</v>
      </c>
      <c r="N10" s="156" t="s">
        <v>158</v>
      </c>
      <c r="O10" s="150"/>
      <c r="P10" s="150"/>
      <c r="Q10" s="150"/>
      <c r="R10" s="143">
        <f t="shared" si="0"/>
        <v>7</v>
      </c>
      <c r="S10" s="143">
        <f t="shared" si="4"/>
        <v>4</v>
      </c>
      <c r="T10" s="143">
        <f t="shared" si="5"/>
        <v>0</v>
      </c>
      <c r="U10" s="144">
        <f t="shared" si="3"/>
        <v>0</v>
      </c>
    </row>
    <row r="11" spans="1:21" s="145" customFormat="1" ht="27.75" customHeight="1">
      <c r="A11" s="158" t="s">
        <v>159</v>
      </c>
      <c r="B11" s="153"/>
      <c r="C11" s="154" t="s">
        <v>160</v>
      </c>
      <c r="D11" s="155"/>
      <c r="E11" s="154" t="s">
        <v>161</v>
      </c>
      <c r="F11" s="156" t="s">
        <v>162</v>
      </c>
      <c r="G11" s="149">
        <v>780403289</v>
      </c>
      <c r="H11" s="154" t="s">
        <v>163</v>
      </c>
      <c r="I11" s="154" t="s">
        <v>164</v>
      </c>
      <c r="J11" s="156" t="s">
        <v>165</v>
      </c>
      <c r="K11" s="159"/>
      <c r="L11" s="156" t="s">
        <v>166</v>
      </c>
      <c r="M11" s="150" t="s">
        <v>167</v>
      </c>
      <c r="N11" s="156" t="s">
        <v>168</v>
      </c>
      <c r="O11" s="150"/>
      <c r="P11" s="150"/>
      <c r="Q11" s="150"/>
      <c r="R11" s="143">
        <f t="shared" si="0"/>
        <v>8</v>
      </c>
      <c r="S11" s="143">
        <f t="shared" si="4"/>
        <v>3</v>
      </c>
      <c r="T11" s="143">
        <f t="shared" si="5"/>
        <v>0</v>
      </c>
      <c r="U11" s="144">
        <f t="shared" si="3"/>
        <v>0</v>
      </c>
    </row>
    <row r="12" spans="1:21" s="145" customFormat="1" ht="27.75" customHeight="1">
      <c r="A12" s="152" t="s">
        <v>169</v>
      </c>
      <c r="B12" s="153"/>
      <c r="C12" s="154" t="s">
        <v>121</v>
      </c>
      <c r="D12" s="155"/>
      <c r="E12" s="154" t="s">
        <v>170</v>
      </c>
      <c r="F12" s="156" t="s">
        <v>171</v>
      </c>
      <c r="G12" s="149">
        <v>681341647</v>
      </c>
      <c r="H12" s="154" t="s">
        <v>172</v>
      </c>
      <c r="I12" s="154" t="s">
        <v>173</v>
      </c>
      <c r="J12" s="156" t="s">
        <v>174</v>
      </c>
      <c r="K12" s="157" t="s">
        <v>107</v>
      </c>
      <c r="L12" s="156" t="s">
        <v>175</v>
      </c>
      <c r="M12" s="150" t="s">
        <v>176</v>
      </c>
      <c r="N12" s="156" t="s">
        <v>177</v>
      </c>
      <c r="O12" s="150"/>
      <c r="P12" s="150"/>
      <c r="Q12" s="150"/>
      <c r="R12" s="143">
        <f t="shared" si="0"/>
        <v>9</v>
      </c>
      <c r="S12" s="143">
        <f t="shared" si="4"/>
        <v>4</v>
      </c>
      <c r="T12" s="143">
        <f t="shared" si="5"/>
        <v>0</v>
      </c>
      <c r="U12" s="144">
        <f t="shared" si="3"/>
        <v>0</v>
      </c>
    </row>
    <row r="13" spans="1:21" s="145" customFormat="1" ht="27.75" customHeight="1">
      <c r="A13" s="152" t="s">
        <v>178</v>
      </c>
      <c r="B13" s="153"/>
      <c r="C13" s="159"/>
      <c r="D13" s="155"/>
      <c r="E13" s="159"/>
      <c r="F13" s="156" t="s">
        <v>179</v>
      </c>
      <c r="G13" s="149">
        <v>681829999</v>
      </c>
      <c r="H13" s="154" t="s">
        <v>180</v>
      </c>
      <c r="I13" s="154" t="s">
        <v>181</v>
      </c>
      <c r="J13" s="156" t="s">
        <v>182</v>
      </c>
      <c r="K13" s="157" t="s">
        <v>183</v>
      </c>
      <c r="L13" s="156" t="s">
        <v>184</v>
      </c>
      <c r="M13" s="150" t="s">
        <v>185</v>
      </c>
      <c r="N13" s="156" t="s">
        <v>186</v>
      </c>
      <c r="O13" s="150"/>
      <c r="P13" s="150"/>
      <c r="Q13" s="150"/>
      <c r="R13" s="143">
        <f t="shared" si="0"/>
        <v>10</v>
      </c>
      <c r="S13" s="143">
        <f t="shared" si="4"/>
        <v>3</v>
      </c>
      <c r="T13" s="143">
        <f t="shared" si="5"/>
        <v>0</v>
      </c>
      <c r="U13" s="144">
        <f t="shared" si="3"/>
        <v>0</v>
      </c>
    </row>
    <row r="14" spans="1:21" s="145" customFormat="1" ht="27.75" customHeight="1">
      <c r="A14" s="152" t="s">
        <v>187</v>
      </c>
      <c r="B14" s="153"/>
      <c r="C14" s="154" t="s">
        <v>121</v>
      </c>
      <c r="D14" s="155"/>
      <c r="E14" s="154" t="s">
        <v>188</v>
      </c>
      <c r="F14" s="156" t="s">
        <v>189</v>
      </c>
      <c r="G14" s="149">
        <v>613342247</v>
      </c>
      <c r="H14" s="154" t="s">
        <v>190</v>
      </c>
      <c r="I14" s="154" t="s">
        <v>191</v>
      </c>
      <c r="J14" s="156" t="s">
        <v>192</v>
      </c>
      <c r="K14" s="157" t="s">
        <v>193</v>
      </c>
      <c r="L14" s="156" t="s">
        <v>194</v>
      </c>
      <c r="M14" s="150" t="s">
        <v>195</v>
      </c>
      <c r="N14" s="156" t="s">
        <v>196</v>
      </c>
      <c r="O14" s="150"/>
      <c r="P14" s="150"/>
      <c r="Q14" s="150"/>
      <c r="R14" s="143">
        <f t="shared" si="0"/>
        <v>11</v>
      </c>
      <c r="S14" s="143">
        <f t="shared" si="4"/>
        <v>4</v>
      </c>
      <c r="T14" s="143">
        <f t="shared" si="5"/>
        <v>0</v>
      </c>
      <c r="U14" s="144">
        <f t="shared" si="3"/>
        <v>0</v>
      </c>
    </row>
    <row r="15" spans="1:21" s="145" customFormat="1" ht="27.75" customHeight="1">
      <c r="A15" s="152" t="s">
        <v>197</v>
      </c>
      <c r="B15" s="153"/>
      <c r="C15" s="154" t="s">
        <v>132</v>
      </c>
      <c r="D15" s="155"/>
      <c r="E15" s="154" t="s">
        <v>198</v>
      </c>
      <c r="F15" s="156" t="s">
        <v>199</v>
      </c>
      <c r="G15" s="149">
        <v>624133699</v>
      </c>
      <c r="H15" s="154" t="s">
        <v>200</v>
      </c>
      <c r="I15" s="148" t="s">
        <v>201</v>
      </c>
      <c r="J15" s="148" t="s">
        <v>202</v>
      </c>
      <c r="K15" s="157" t="s">
        <v>203</v>
      </c>
      <c r="L15" s="156" t="s">
        <v>204</v>
      </c>
      <c r="M15" s="150"/>
      <c r="N15" s="156"/>
      <c r="O15" s="150"/>
      <c r="P15" s="150"/>
      <c r="Q15" s="150"/>
      <c r="R15" s="143">
        <f t="shared" si="0"/>
        <v>12</v>
      </c>
      <c r="S15" s="143">
        <f t="shared" si="4"/>
        <v>3</v>
      </c>
      <c r="T15" s="143">
        <f t="shared" si="5"/>
        <v>0</v>
      </c>
      <c r="U15" s="144">
        <f t="shared" si="3"/>
        <v>0</v>
      </c>
    </row>
    <row r="16" spans="1:21" s="145" customFormat="1" ht="27.75" customHeight="1">
      <c r="A16" s="152" t="s">
        <v>205</v>
      </c>
      <c r="B16" s="153"/>
      <c r="C16" s="154" t="s">
        <v>121</v>
      </c>
      <c r="D16" s="155"/>
      <c r="E16" s="154" t="s">
        <v>206</v>
      </c>
      <c r="F16" s="156" t="s">
        <v>207</v>
      </c>
      <c r="G16" s="149">
        <v>686363580</v>
      </c>
      <c r="H16" s="154" t="s">
        <v>208</v>
      </c>
      <c r="I16" s="154" t="s">
        <v>209</v>
      </c>
      <c r="J16" s="156" t="s">
        <v>210</v>
      </c>
      <c r="K16" s="157" t="s">
        <v>211</v>
      </c>
      <c r="L16" s="156" t="s">
        <v>212</v>
      </c>
      <c r="M16" s="150" t="s">
        <v>213</v>
      </c>
      <c r="N16" s="156" t="s">
        <v>214</v>
      </c>
      <c r="O16" s="150"/>
      <c r="P16" s="150"/>
      <c r="Q16" s="150"/>
      <c r="R16" s="143">
        <f t="shared" si="0"/>
        <v>13</v>
      </c>
      <c r="S16" s="143">
        <f t="shared" si="4"/>
        <v>4</v>
      </c>
      <c r="T16" s="143">
        <f t="shared" si="5"/>
        <v>0</v>
      </c>
      <c r="U16" s="144">
        <f t="shared" si="3"/>
        <v>0</v>
      </c>
    </row>
    <row r="17" spans="1:21" s="145" customFormat="1" ht="27.75" customHeight="1">
      <c r="A17" s="152" t="s">
        <v>215</v>
      </c>
      <c r="B17" s="153"/>
      <c r="C17" s="154" t="s">
        <v>216</v>
      </c>
      <c r="D17" s="155"/>
      <c r="E17" s="154" t="s">
        <v>217</v>
      </c>
      <c r="F17" s="156" t="s">
        <v>218</v>
      </c>
      <c r="G17" s="149">
        <v>622312000</v>
      </c>
      <c r="H17" s="154" t="s">
        <v>219</v>
      </c>
      <c r="I17" s="154" t="s">
        <v>220</v>
      </c>
      <c r="J17" s="156" t="s">
        <v>221</v>
      </c>
      <c r="K17" s="157" t="s">
        <v>222</v>
      </c>
      <c r="L17" s="156" t="s">
        <v>223</v>
      </c>
      <c r="M17" s="150" t="s">
        <v>224</v>
      </c>
      <c r="N17" s="156" t="s">
        <v>225</v>
      </c>
      <c r="O17" s="150"/>
      <c r="P17" s="150"/>
      <c r="Q17" s="150"/>
      <c r="R17" s="143">
        <f t="shared" si="0"/>
        <v>14</v>
      </c>
      <c r="S17" s="143">
        <f t="shared" si="4"/>
        <v>4</v>
      </c>
      <c r="T17" s="143">
        <f t="shared" si="5"/>
        <v>0</v>
      </c>
      <c r="U17" s="144">
        <f t="shared" si="3"/>
        <v>0</v>
      </c>
    </row>
    <row r="18" spans="1:21" s="145" customFormat="1" ht="27.75" customHeight="1">
      <c r="A18" s="152"/>
      <c r="B18" s="153"/>
      <c r="C18" s="154"/>
      <c r="D18" s="155"/>
      <c r="E18" s="154"/>
      <c r="F18" s="156"/>
      <c r="G18" s="149"/>
      <c r="H18" s="154"/>
      <c r="I18" s="154"/>
      <c r="J18" s="156"/>
      <c r="K18" s="157"/>
      <c r="L18" s="156"/>
      <c r="M18" s="150"/>
      <c r="N18" s="156"/>
      <c r="O18" s="150"/>
      <c r="P18" s="150"/>
      <c r="Q18" s="150"/>
      <c r="R18" s="143">
        <f t="shared" si="0"/>
        <v>0</v>
      </c>
      <c r="S18" s="143">
        <f t="shared" si="4"/>
        <v>0</v>
      </c>
      <c r="T18" s="143">
        <f t="shared" si="5"/>
        <v>0</v>
      </c>
      <c r="U18" s="144">
        <f t="shared" si="3"/>
        <v>0</v>
      </c>
    </row>
    <row r="19" spans="1:21" s="145" customFormat="1" ht="27.75" customHeight="1">
      <c r="A19" s="152"/>
      <c r="B19" s="153"/>
      <c r="C19" s="154"/>
      <c r="D19" s="155"/>
      <c r="E19" s="154"/>
      <c r="F19" s="156"/>
      <c r="G19" s="149"/>
      <c r="H19" s="154"/>
      <c r="I19" s="154"/>
      <c r="J19" s="156"/>
      <c r="K19" s="157"/>
      <c r="L19" s="156"/>
      <c r="M19" s="150"/>
      <c r="N19" s="156"/>
      <c r="O19" s="150"/>
      <c r="P19" s="150"/>
      <c r="Q19" s="150"/>
      <c r="R19" s="143">
        <f t="shared" si="0"/>
        <v>0</v>
      </c>
      <c r="S19" s="143">
        <f t="shared" si="4"/>
        <v>0</v>
      </c>
      <c r="T19" s="143">
        <f t="shared" si="5"/>
        <v>0</v>
      </c>
      <c r="U19" s="144">
        <f t="shared" si="3"/>
        <v>0</v>
      </c>
    </row>
    <row r="20" spans="1:21" s="145" customFormat="1" ht="27.75" customHeight="1">
      <c r="A20" s="152"/>
      <c r="B20" s="153"/>
      <c r="C20" s="154"/>
      <c r="D20" s="155"/>
      <c r="E20" s="154"/>
      <c r="F20" s="156"/>
      <c r="G20" s="149"/>
      <c r="H20" s="154"/>
      <c r="I20" s="154"/>
      <c r="J20" s="156"/>
      <c r="K20" s="157"/>
      <c r="L20" s="156"/>
      <c r="M20" s="150"/>
      <c r="N20" s="156"/>
      <c r="O20" s="150"/>
      <c r="P20" s="150"/>
      <c r="Q20" s="150"/>
      <c r="R20" s="143">
        <f t="shared" si="0"/>
        <v>0</v>
      </c>
      <c r="S20" s="143">
        <f t="shared" si="4"/>
        <v>0</v>
      </c>
      <c r="T20" s="143">
        <f t="shared" si="5"/>
        <v>0</v>
      </c>
      <c r="U20" s="144">
        <f t="shared" si="3"/>
        <v>0</v>
      </c>
    </row>
    <row r="21" spans="1:21" s="145" customFormat="1" ht="27.75" customHeight="1">
      <c r="A21" s="152"/>
      <c r="B21" s="153"/>
      <c r="C21" s="154"/>
      <c r="D21" s="155"/>
      <c r="E21" s="154"/>
      <c r="F21" s="156"/>
      <c r="G21" s="149"/>
      <c r="H21" s="154"/>
      <c r="I21" s="154"/>
      <c r="J21" s="156"/>
      <c r="K21" s="157"/>
      <c r="L21" s="156"/>
      <c r="M21" s="150"/>
      <c r="N21" s="156"/>
      <c r="O21" s="150"/>
      <c r="P21" s="150"/>
      <c r="Q21" s="150"/>
      <c r="R21" s="143">
        <f t="shared" si="0"/>
        <v>0</v>
      </c>
      <c r="S21" s="143">
        <f t="shared" si="4"/>
        <v>0</v>
      </c>
      <c r="T21" s="143">
        <f t="shared" si="5"/>
        <v>0</v>
      </c>
      <c r="U21" s="144">
        <f t="shared" si="3"/>
        <v>0</v>
      </c>
    </row>
    <row r="22" spans="1:21" s="145" customFormat="1" ht="27.75" customHeight="1">
      <c r="A22" s="152"/>
      <c r="B22" s="153"/>
      <c r="C22" s="154"/>
      <c r="D22" s="155"/>
      <c r="E22" s="154"/>
      <c r="F22" s="156"/>
      <c r="G22" s="149"/>
      <c r="H22" s="154"/>
      <c r="I22" s="154"/>
      <c r="J22" s="156"/>
      <c r="K22" s="157"/>
      <c r="L22" s="156"/>
      <c r="M22" s="150"/>
      <c r="N22" s="156"/>
      <c r="O22" s="150"/>
      <c r="P22" s="150"/>
      <c r="Q22" s="150"/>
      <c r="R22" s="143">
        <f t="shared" si="0"/>
        <v>0</v>
      </c>
      <c r="S22" s="143">
        <f t="shared" si="4"/>
        <v>0</v>
      </c>
      <c r="T22" s="143">
        <f t="shared" si="5"/>
        <v>0</v>
      </c>
      <c r="U22" s="144">
        <f t="shared" si="3"/>
        <v>0</v>
      </c>
    </row>
    <row r="23" spans="1:21" s="145" customFormat="1" ht="27.75" customHeight="1">
      <c r="A23" s="152"/>
      <c r="B23" s="153"/>
      <c r="C23" s="154"/>
      <c r="D23" s="155"/>
      <c r="E23" s="154"/>
      <c r="F23" s="156"/>
      <c r="G23" s="149"/>
      <c r="H23" s="154"/>
      <c r="I23" s="154"/>
      <c r="J23" s="156"/>
      <c r="K23" s="157"/>
      <c r="L23" s="156"/>
      <c r="M23" s="150"/>
      <c r="N23" s="156"/>
      <c r="O23" s="150"/>
      <c r="P23" s="150"/>
      <c r="Q23" s="150"/>
      <c r="R23" s="143">
        <f t="shared" si="0"/>
        <v>0</v>
      </c>
      <c r="S23" s="143">
        <f t="shared" si="4"/>
        <v>0</v>
      </c>
      <c r="T23" s="143">
        <f t="shared" si="5"/>
        <v>0</v>
      </c>
      <c r="U23" s="144">
        <f t="shared" si="3"/>
        <v>0</v>
      </c>
    </row>
    <row r="24" spans="1:21" s="145" customFormat="1" ht="27.75" customHeight="1">
      <c r="A24" s="152"/>
      <c r="B24" s="153"/>
      <c r="C24" s="154"/>
      <c r="D24" s="155"/>
      <c r="E24" s="154"/>
      <c r="F24" s="156"/>
      <c r="G24" s="149"/>
      <c r="H24" s="154"/>
      <c r="I24" s="154"/>
      <c r="J24" s="156"/>
      <c r="K24" s="157"/>
      <c r="L24" s="156"/>
      <c r="M24" s="150"/>
      <c r="N24" s="156"/>
      <c r="O24" s="150"/>
      <c r="P24" s="150"/>
      <c r="Q24" s="150"/>
      <c r="R24" s="143">
        <f t="shared" si="0"/>
        <v>0</v>
      </c>
      <c r="S24" s="143">
        <f t="shared" si="4"/>
        <v>0</v>
      </c>
      <c r="T24" s="143">
        <f t="shared" si="5"/>
        <v>0</v>
      </c>
      <c r="U24" s="144">
        <f t="shared" si="3"/>
        <v>0</v>
      </c>
    </row>
    <row r="25" spans="1:21" s="145" customFormat="1" ht="27.75" customHeight="1">
      <c r="A25" s="152"/>
      <c r="B25" s="153"/>
      <c r="C25" s="154"/>
      <c r="D25" s="155"/>
      <c r="E25" s="154"/>
      <c r="F25" s="156"/>
      <c r="G25" s="149"/>
      <c r="H25" s="154"/>
      <c r="I25" s="154"/>
      <c r="J25" s="156"/>
      <c r="K25" s="157"/>
      <c r="L25" s="156"/>
      <c r="M25" s="150"/>
      <c r="N25" s="156"/>
      <c r="O25" s="150"/>
      <c r="P25" s="150"/>
      <c r="Q25" s="150"/>
      <c r="R25" s="143">
        <f t="shared" si="0"/>
        <v>0</v>
      </c>
      <c r="S25" s="143">
        <f t="shared" si="4"/>
        <v>0</v>
      </c>
      <c r="T25" s="143">
        <f t="shared" si="5"/>
        <v>0</v>
      </c>
      <c r="U25" s="144">
        <f t="shared" si="3"/>
        <v>0</v>
      </c>
    </row>
    <row r="26" spans="1:21" s="145" customFormat="1" ht="27.75" customHeight="1">
      <c r="A26" s="152"/>
      <c r="B26" s="153"/>
      <c r="C26" s="154"/>
      <c r="D26" s="155"/>
      <c r="E26" s="154"/>
      <c r="F26" s="156"/>
      <c r="G26" s="149"/>
      <c r="H26" s="154"/>
      <c r="I26" s="154"/>
      <c r="J26" s="156"/>
      <c r="K26" s="157"/>
      <c r="L26" s="156"/>
      <c r="M26" s="150"/>
      <c r="N26" s="156"/>
      <c r="O26" s="150"/>
      <c r="P26" s="150"/>
      <c r="Q26" s="150"/>
      <c r="R26" s="143">
        <f t="shared" si="0"/>
        <v>0</v>
      </c>
      <c r="S26" s="143">
        <f t="shared" si="4"/>
        <v>0</v>
      </c>
      <c r="T26" s="143">
        <f t="shared" si="5"/>
        <v>0</v>
      </c>
      <c r="U26" s="144">
        <f t="shared" si="3"/>
        <v>0</v>
      </c>
    </row>
    <row r="27" spans="1:21" s="145" customFormat="1" ht="27.75" customHeight="1">
      <c r="A27" s="152"/>
      <c r="B27" s="153"/>
      <c r="C27" s="154"/>
      <c r="D27" s="155"/>
      <c r="E27" s="154"/>
      <c r="F27" s="156"/>
      <c r="G27" s="149"/>
      <c r="H27" s="154"/>
      <c r="I27" s="154"/>
      <c r="J27" s="156"/>
      <c r="K27" s="157"/>
      <c r="L27" s="156"/>
      <c r="M27" s="150"/>
      <c r="N27" s="156"/>
      <c r="O27" s="150"/>
      <c r="P27" s="150"/>
      <c r="Q27" s="150"/>
      <c r="R27" s="143">
        <f t="shared" si="0"/>
        <v>0</v>
      </c>
      <c r="S27" s="143">
        <f t="shared" si="4"/>
        <v>0</v>
      </c>
      <c r="T27" s="143">
        <f t="shared" si="5"/>
        <v>0</v>
      </c>
      <c r="U27" s="144">
        <f t="shared" si="3"/>
        <v>0</v>
      </c>
    </row>
    <row r="28" spans="1:21" s="145" customFormat="1" ht="27.75" customHeight="1">
      <c r="A28" s="152"/>
      <c r="B28" s="153"/>
      <c r="C28" s="154"/>
      <c r="D28" s="155"/>
      <c r="E28" s="154"/>
      <c r="F28" s="156"/>
      <c r="G28" s="149"/>
      <c r="H28" s="154"/>
      <c r="I28" s="154"/>
      <c r="J28" s="156"/>
      <c r="K28" s="157"/>
      <c r="L28" s="156"/>
      <c r="M28" s="150"/>
      <c r="N28" s="156"/>
      <c r="O28" s="150"/>
      <c r="P28" s="150"/>
      <c r="Q28" s="150"/>
      <c r="R28" s="143">
        <f t="shared" si="0"/>
        <v>0</v>
      </c>
      <c r="S28" s="143">
        <f t="shared" si="4"/>
        <v>0</v>
      </c>
      <c r="T28" s="143">
        <f t="shared" si="5"/>
        <v>0</v>
      </c>
      <c r="U28" s="144">
        <f t="shared" si="3"/>
        <v>0</v>
      </c>
    </row>
    <row r="29" spans="1:21" s="145" customFormat="1" ht="27.75" customHeight="1">
      <c r="A29" s="152"/>
      <c r="B29" s="153"/>
      <c r="C29" s="154"/>
      <c r="D29" s="155"/>
      <c r="E29" s="154"/>
      <c r="F29" s="156"/>
      <c r="G29" s="149"/>
      <c r="H29" s="154"/>
      <c r="I29" s="154"/>
      <c r="J29" s="156"/>
      <c r="K29" s="157"/>
      <c r="L29" s="156"/>
      <c r="M29" s="150"/>
      <c r="N29" s="156"/>
      <c r="O29" s="150"/>
      <c r="P29" s="150"/>
      <c r="Q29" s="150"/>
      <c r="R29" s="143">
        <f t="shared" si="0"/>
        <v>0</v>
      </c>
      <c r="S29" s="143">
        <f t="shared" si="4"/>
        <v>0</v>
      </c>
      <c r="T29" s="143">
        <f t="shared" si="5"/>
        <v>0</v>
      </c>
      <c r="U29" s="144">
        <f t="shared" si="3"/>
        <v>0</v>
      </c>
    </row>
    <row r="30" spans="1:21" s="145" customFormat="1" ht="27.75" customHeight="1">
      <c r="A30" s="152"/>
      <c r="B30" s="153"/>
      <c r="C30" s="154"/>
      <c r="D30" s="155"/>
      <c r="E30" s="154"/>
      <c r="F30" s="156"/>
      <c r="G30" s="149"/>
      <c r="H30" s="154"/>
      <c r="I30" s="154"/>
      <c r="J30" s="156"/>
      <c r="K30" s="157"/>
      <c r="L30" s="156"/>
      <c r="M30" s="150"/>
      <c r="N30" s="156"/>
      <c r="O30" s="150"/>
      <c r="P30" s="150"/>
      <c r="Q30" s="150"/>
      <c r="R30" s="143">
        <f t="shared" si="0"/>
        <v>0</v>
      </c>
      <c r="S30" s="143">
        <f t="shared" si="4"/>
        <v>0</v>
      </c>
      <c r="T30" s="143">
        <f t="shared" si="5"/>
        <v>0</v>
      </c>
      <c r="U30" s="144">
        <f t="shared" si="3"/>
        <v>0</v>
      </c>
    </row>
    <row r="31" spans="1:21" s="145" customFormat="1" ht="27.75" customHeight="1">
      <c r="A31" s="152"/>
      <c r="B31" s="153"/>
      <c r="C31" s="154"/>
      <c r="D31" s="155"/>
      <c r="E31" s="154"/>
      <c r="F31" s="156"/>
      <c r="G31" s="149"/>
      <c r="H31" s="154"/>
      <c r="I31" s="154"/>
      <c r="J31" s="156"/>
      <c r="K31" s="157"/>
      <c r="L31" s="156"/>
      <c r="M31" s="150"/>
      <c r="N31" s="156"/>
      <c r="O31" s="150"/>
      <c r="P31" s="150"/>
      <c r="Q31" s="150"/>
      <c r="R31" s="143">
        <f t="shared" si="0"/>
        <v>0</v>
      </c>
      <c r="S31" s="143">
        <f t="shared" si="4"/>
        <v>0</v>
      </c>
      <c r="T31" s="143">
        <f t="shared" si="5"/>
        <v>0</v>
      </c>
      <c r="U31" s="144">
        <f t="shared" si="3"/>
        <v>0</v>
      </c>
    </row>
    <row r="32" spans="1:21" s="145" customFormat="1" ht="27.75" customHeight="1">
      <c r="A32" s="152"/>
      <c r="B32" s="153"/>
      <c r="C32" s="154"/>
      <c r="D32" s="155"/>
      <c r="E32" s="154"/>
      <c r="F32" s="156"/>
      <c r="G32" s="149"/>
      <c r="H32" s="154"/>
      <c r="I32" s="154"/>
      <c r="J32" s="156"/>
      <c r="K32" s="157"/>
      <c r="L32" s="156"/>
      <c r="M32" s="150"/>
      <c r="N32" s="156"/>
      <c r="O32" s="150"/>
      <c r="P32" s="150"/>
      <c r="Q32" s="150"/>
      <c r="R32" s="143">
        <f t="shared" si="0"/>
        <v>0</v>
      </c>
      <c r="S32" s="143">
        <f t="shared" si="4"/>
        <v>0</v>
      </c>
      <c r="T32" s="143">
        <f t="shared" si="5"/>
        <v>0</v>
      </c>
      <c r="U32" s="144">
        <f t="shared" si="3"/>
        <v>0</v>
      </c>
    </row>
    <row r="33" spans="1:21" s="145" customFormat="1" ht="27.75" customHeight="1">
      <c r="A33" s="152"/>
      <c r="B33" s="153"/>
      <c r="C33" s="154"/>
      <c r="D33" s="155"/>
      <c r="E33" s="154"/>
      <c r="F33" s="156"/>
      <c r="G33" s="149"/>
      <c r="H33" s="154"/>
      <c r="I33" s="154"/>
      <c r="J33" s="156"/>
      <c r="K33" s="157"/>
      <c r="L33" s="156"/>
      <c r="M33" s="150"/>
      <c r="N33" s="156"/>
      <c r="O33" s="150"/>
      <c r="P33" s="150"/>
      <c r="Q33" s="150"/>
      <c r="R33" s="143">
        <f t="shared" si="0"/>
        <v>0</v>
      </c>
      <c r="S33" s="143">
        <f t="shared" si="4"/>
        <v>0</v>
      </c>
      <c r="T33" s="143">
        <f t="shared" si="5"/>
        <v>0</v>
      </c>
      <c r="U33" s="144">
        <f t="shared" si="3"/>
        <v>0</v>
      </c>
    </row>
    <row r="34" spans="1:21" s="145" customFormat="1" ht="27.75" customHeight="1">
      <c r="A34" s="152"/>
      <c r="B34" s="153"/>
      <c r="C34" s="154"/>
      <c r="D34" s="155"/>
      <c r="E34" s="154"/>
      <c r="F34" s="156"/>
      <c r="G34" s="149"/>
      <c r="H34" s="154"/>
      <c r="I34" s="154"/>
      <c r="J34" s="156"/>
      <c r="K34" s="157"/>
      <c r="L34" s="156"/>
      <c r="M34" s="150"/>
      <c r="N34" s="156"/>
      <c r="O34" s="150"/>
      <c r="P34" s="150"/>
      <c r="Q34" s="150"/>
      <c r="R34" s="143">
        <f t="shared" si="0"/>
        <v>0</v>
      </c>
      <c r="S34" s="143">
        <f t="shared" si="4"/>
        <v>0</v>
      </c>
      <c r="T34" s="143">
        <f t="shared" si="5"/>
        <v>0</v>
      </c>
      <c r="U34" s="144">
        <f t="shared" si="3"/>
        <v>0</v>
      </c>
    </row>
    <row r="35" spans="1:21" s="145" customFormat="1" ht="27.75" customHeight="1">
      <c r="A35" s="152"/>
      <c r="B35" s="153"/>
      <c r="C35" s="154"/>
      <c r="D35" s="155"/>
      <c r="E35" s="154"/>
      <c r="F35" s="156"/>
      <c r="G35" s="149"/>
      <c r="H35" s="154"/>
      <c r="I35" s="154"/>
      <c r="J35" s="156"/>
      <c r="K35" s="157"/>
      <c r="L35" s="156"/>
      <c r="M35" s="150"/>
      <c r="N35" s="156"/>
      <c r="O35" s="150"/>
      <c r="P35" s="150"/>
      <c r="Q35" s="150"/>
      <c r="R35" s="143">
        <f t="shared" si="0"/>
        <v>0</v>
      </c>
      <c r="S35" s="143">
        <f t="shared" si="4"/>
        <v>0</v>
      </c>
      <c r="T35" s="143">
        <f t="shared" si="5"/>
        <v>0</v>
      </c>
      <c r="U35" s="144">
        <f t="shared" si="3"/>
        <v>0</v>
      </c>
    </row>
    <row r="36" spans="1:21" s="145" customFormat="1" ht="27.75" customHeight="1">
      <c r="A36" s="152"/>
      <c r="B36" s="153"/>
      <c r="C36" s="154"/>
      <c r="D36" s="155"/>
      <c r="E36" s="154"/>
      <c r="F36" s="156"/>
      <c r="G36" s="149"/>
      <c r="H36" s="154"/>
      <c r="I36" s="154"/>
      <c r="J36" s="156"/>
      <c r="K36" s="157"/>
      <c r="L36" s="156"/>
      <c r="M36" s="150"/>
      <c r="N36" s="156"/>
      <c r="O36" s="150"/>
      <c r="P36" s="150"/>
      <c r="Q36" s="150"/>
      <c r="R36" s="143">
        <f t="shared" si="0"/>
        <v>0</v>
      </c>
      <c r="S36" s="143">
        <f t="shared" si="4"/>
        <v>0</v>
      </c>
      <c r="T36" s="143">
        <f t="shared" si="5"/>
        <v>0</v>
      </c>
      <c r="U36" s="144">
        <f t="shared" si="3"/>
        <v>0</v>
      </c>
    </row>
    <row r="37" spans="1:21" s="145" customFormat="1" ht="27.75" customHeight="1">
      <c r="A37" s="152"/>
      <c r="B37" s="153"/>
      <c r="C37" s="154"/>
      <c r="D37" s="155"/>
      <c r="E37" s="154"/>
      <c r="F37" s="156"/>
      <c r="G37" s="149"/>
      <c r="H37" s="154"/>
      <c r="I37" s="154"/>
      <c r="J37" s="156"/>
      <c r="K37" s="157"/>
      <c r="L37" s="156"/>
      <c r="M37" s="150"/>
      <c r="N37" s="156"/>
      <c r="O37" s="150"/>
      <c r="P37" s="150"/>
      <c r="Q37" s="150"/>
      <c r="R37" s="143">
        <f t="shared" si="0"/>
        <v>0</v>
      </c>
      <c r="S37" s="143">
        <f t="shared" si="4"/>
        <v>0</v>
      </c>
      <c r="T37" s="143">
        <f t="shared" si="5"/>
        <v>0</v>
      </c>
      <c r="U37" s="144">
        <f t="shared" si="3"/>
        <v>0</v>
      </c>
    </row>
    <row r="38" spans="1:21" s="145" customFormat="1" ht="27.75" customHeight="1">
      <c r="A38" s="152"/>
      <c r="B38" s="153"/>
      <c r="C38" s="154"/>
      <c r="D38" s="155"/>
      <c r="E38" s="154"/>
      <c r="F38" s="156"/>
      <c r="G38" s="149"/>
      <c r="H38" s="154"/>
      <c r="I38" s="154"/>
      <c r="J38" s="156"/>
      <c r="K38" s="157"/>
      <c r="L38" s="156"/>
      <c r="M38" s="150"/>
      <c r="N38" s="156"/>
      <c r="O38" s="150"/>
      <c r="P38" s="150"/>
      <c r="Q38" s="150"/>
      <c r="R38" s="143">
        <f t="shared" si="0"/>
        <v>0</v>
      </c>
      <c r="S38" s="143">
        <f t="shared" si="4"/>
        <v>0</v>
      </c>
      <c r="T38" s="143">
        <f t="shared" si="5"/>
        <v>0</v>
      </c>
      <c r="U38" s="144">
        <f t="shared" si="3"/>
        <v>0</v>
      </c>
    </row>
    <row r="39" spans="1:21" s="145" customFormat="1" ht="27.75" customHeight="1">
      <c r="A39" s="152"/>
      <c r="B39" s="153"/>
      <c r="C39" s="154"/>
      <c r="D39" s="155"/>
      <c r="E39" s="154"/>
      <c r="F39" s="156"/>
      <c r="G39" s="149"/>
      <c r="H39" s="154"/>
      <c r="I39" s="154"/>
      <c r="J39" s="156"/>
      <c r="K39" s="157"/>
      <c r="L39" s="156"/>
      <c r="M39" s="150"/>
      <c r="N39" s="156"/>
      <c r="O39" s="150"/>
      <c r="P39" s="150"/>
      <c r="Q39" s="150"/>
      <c r="R39" s="143">
        <f t="shared" si="0"/>
        <v>0</v>
      </c>
      <c r="S39" s="143">
        <f t="shared" si="4"/>
        <v>0</v>
      </c>
      <c r="T39" s="143">
        <f t="shared" si="5"/>
        <v>0</v>
      </c>
      <c r="U39" s="144">
        <f t="shared" si="3"/>
        <v>0</v>
      </c>
    </row>
    <row r="40" spans="1:21" s="145" customFormat="1" ht="27.75" customHeight="1">
      <c r="A40" s="152"/>
      <c r="B40" s="153"/>
      <c r="C40" s="154"/>
      <c r="D40" s="155"/>
      <c r="E40" s="154"/>
      <c r="F40" s="156"/>
      <c r="G40" s="149"/>
      <c r="H40" s="154"/>
      <c r="I40" s="154"/>
      <c r="J40" s="156"/>
      <c r="K40" s="157"/>
      <c r="L40" s="156"/>
      <c r="M40" s="150"/>
      <c r="N40" s="156"/>
      <c r="O40" s="150"/>
      <c r="P40" s="150"/>
      <c r="Q40" s="150"/>
      <c r="R40" s="143">
        <f t="shared" si="0"/>
        <v>0</v>
      </c>
      <c r="S40" s="143">
        <f t="shared" si="4"/>
        <v>0</v>
      </c>
      <c r="T40" s="143">
        <f t="shared" si="5"/>
        <v>0</v>
      </c>
      <c r="U40" s="144">
        <f t="shared" si="3"/>
        <v>0</v>
      </c>
    </row>
    <row r="41" spans="1:21" s="145" customFormat="1" ht="27.75" customHeight="1">
      <c r="A41" s="152"/>
      <c r="B41" s="153"/>
      <c r="C41" s="154"/>
      <c r="D41" s="155"/>
      <c r="E41" s="154"/>
      <c r="F41" s="156"/>
      <c r="G41" s="149"/>
      <c r="H41" s="154"/>
      <c r="I41" s="154"/>
      <c r="J41" s="156"/>
      <c r="K41" s="157"/>
      <c r="L41" s="156"/>
      <c r="M41" s="150"/>
      <c r="N41" s="156"/>
      <c r="O41" s="150"/>
      <c r="P41" s="150"/>
      <c r="Q41" s="150"/>
      <c r="R41" s="143">
        <f t="shared" si="0"/>
        <v>0</v>
      </c>
      <c r="S41" s="143">
        <f t="shared" si="4"/>
        <v>0</v>
      </c>
      <c r="T41" s="143">
        <f t="shared" si="5"/>
        <v>0</v>
      </c>
      <c r="U41" s="144">
        <f t="shared" si="3"/>
        <v>0</v>
      </c>
    </row>
    <row r="42" spans="1:21" s="145" customFormat="1" ht="27.75" customHeight="1">
      <c r="A42" s="152"/>
      <c r="B42" s="153"/>
      <c r="C42" s="154"/>
      <c r="D42" s="155"/>
      <c r="E42" s="154"/>
      <c r="F42" s="156"/>
      <c r="G42" s="149"/>
      <c r="H42" s="154"/>
      <c r="I42" s="154"/>
      <c r="J42" s="156"/>
      <c r="K42" s="157"/>
      <c r="L42" s="156"/>
      <c r="M42" s="150"/>
      <c r="N42" s="156"/>
      <c r="O42" s="150"/>
      <c r="P42" s="150"/>
      <c r="Q42" s="150"/>
      <c r="R42" s="143">
        <f t="shared" si="0"/>
        <v>0</v>
      </c>
      <c r="S42" s="143">
        <f t="shared" si="4"/>
        <v>0</v>
      </c>
      <c r="T42" s="143">
        <f t="shared" si="5"/>
        <v>0</v>
      </c>
      <c r="U42" s="144">
        <f t="shared" si="3"/>
        <v>0</v>
      </c>
    </row>
    <row r="43" spans="1:21" s="145" customFormat="1" ht="27.75" customHeight="1">
      <c r="A43" s="152"/>
      <c r="B43" s="153"/>
      <c r="C43" s="154"/>
      <c r="D43" s="155"/>
      <c r="E43" s="154"/>
      <c r="F43" s="156"/>
      <c r="G43" s="149"/>
      <c r="H43" s="154"/>
      <c r="I43" s="154"/>
      <c r="J43" s="156"/>
      <c r="K43" s="157"/>
      <c r="L43" s="156"/>
      <c r="M43" s="150"/>
      <c r="N43" s="156"/>
      <c r="O43" s="150"/>
      <c r="P43" s="150"/>
      <c r="Q43" s="150"/>
      <c r="R43" s="143">
        <f t="shared" si="0"/>
        <v>0</v>
      </c>
      <c r="S43" s="143">
        <f t="shared" si="4"/>
        <v>0</v>
      </c>
      <c r="T43" s="143">
        <f t="shared" si="5"/>
        <v>0</v>
      </c>
      <c r="U43" s="144">
        <f t="shared" si="3"/>
        <v>0</v>
      </c>
    </row>
    <row r="44" spans="1:21" s="145" customFormat="1" ht="27.75" customHeight="1">
      <c r="A44" s="152"/>
      <c r="B44" s="153"/>
      <c r="C44" s="154"/>
      <c r="D44" s="155"/>
      <c r="E44" s="154"/>
      <c r="F44" s="156"/>
      <c r="G44" s="149"/>
      <c r="H44" s="154"/>
      <c r="I44" s="154"/>
      <c r="J44" s="156"/>
      <c r="K44" s="157"/>
      <c r="L44" s="156"/>
      <c r="M44" s="150"/>
      <c r="N44" s="156"/>
      <c r="O44" s="150"/>
      <c r="P44" s="150"/>
      <c r="Q44" s="150"/>
      <c r="R44" s="143">
        <f t="shared" si="0"/>
        <v>0</v>
      </c>
      <c r="S44" s="143">
        <f t="shared" si="4"/>
        <v>0</v>
      </c>
      <c r="T44" s="143">
        <f t="shared" si="5"/>
        <v>0</v>
      </c>
      <c r="U44" s="144">
        <f t="shared" si="3"/>
        <v>0</v>
      </c>
    </row>
    <row r="45" spans="1:21" s="145" customFormat="1" ht="27.75" customHeight="1">
      <c r="A45" s="152"/>
      <c r="B45" s="153"/>
      <c r="C45" s="154"/>
      <c r="D45" s="155"/>
      <c r="E45" s="154"/>
      <c r="F45" s="156"/>
      <c r="G45" s="149"/>
      <c r="H45" s="154"/>
      <c r="I45" s="154"/>
      <c r="J45" s="156"/>
      <c r="K45" s="157"/>
      <c r="L45" s="156"/>
      <c r="M45" s="150"/>
      <c r="N45" s="156"/>
      <c r="O45" s="150"/>
      <c r="P45" s="150"/>
      <c r="Q45" s="150"/>
      <c r="R45" s="143">
        <f t="shared" si="0"/>
        <v>0</v>
      </c>
      <c r="S45" s="143">
        <f t="shared" si="4"/>
        <v>0</v>
      </c>
      <c r="T45" s="143">
        <f t="shared" si="5"/>
        <v>0</v>
      </c>
      <c r="U45" s="144">
        <f t="shared" si="3"/>
        <v>0</v>
      </c>
    </row>
    <row r="46" spans="1:21" s="145" customFormat="1" ht="27.75" customHeight="1">
      <c r="A46" s="152"/>
      <c r="B46" s="153"/>
      <c r="C46" s="154"/>
      <c r="D46" s="155"/>
      <c r="E46" s="154"/>
      <c r="F46" s="156"/>
      <c r="G46" s="149"/>
      <c r="H46" s="154"/>
      <c r="I46" s="154"/>
      <c r="J46" s="156"/>
      <c r="K46" s="157"/>
      <c r="L46" s="156"/>
      <c r="M46" s="150"/>
      <c r="N46" s="156"/>
      <c r="O46" s="150"/>
      <c r="P46" s="150"/>
      <c r="Q46" s="150"/>
      <c r="R46" s="143">
        <f t="shared" si="0"/>
        <v>0</v>
      </c>
      <c r="S46" s="143">
        <f t="shared" si="4"/>
        <v>0</v>
      </c>
      <c r="T46" s="143">
        <f t="shared" si="5"/>
        <v>0</v>
      </c>
      <c r="U46" s="144">
        <f t="shared" si="3"/>
        <v>0</v>
      </c>
    </row>
    <row r="47" spans="1:21" s="145" customFormat="1" ht="27.75" customHeight="1">
      <c r="A47" s="152"/>
      <c r="B47" s="153"/>
      <c r="C47" s="154"/>
      <c r="D47" s="155"/>
      <c r="E47" s="154"/>
      <c r="F47" s="156"/>
      <c r="G47" s="149"/>
      <c r="H47" s="154"/>
      <c r="I47" s="154"/>
      <c r="J47" s="156"/>
      <c r="K47" s="157"/>
      <c r="L47" s="156"/>
      <c r="M47" s="150"/>
      <c r="N47" s="156"/>
      <c r="O47" s="150"/>
      <c r="P47" s="150"/>
      <c r="Q47" s="150"/>
      <c r="R47" s="143">
        <f t="shared" si="0"/>
        <v>0</v>
      </c>
      <c r="S47" s="143">
        <f t="shared" si="4"/>
        <v>0</v>
      </c>
      <c r="T47" s="143">
        <f t="shared" si="5"/>
        <v>0</v>
      </c>
      <c r="U47" s="144">
        <f t="shared" si="3"/>
        <v>0</v>
      </c>
    </row>
    <row r="48" spans="1:21" s="145" customFormat="1" ht="27.75" customHeight="1">
      <c r="A48" s="152"/>
      <c r="B48" s="153"/>
      <c r="C48" s="154"/>
      <c r="D48" s="155"/>
      <c r="E48" s="154"/>
      <c r="F48" s="156"/>
      <c r="G48" s="149"/>
      <c r="H48" s="154"/>
      <c r="I48" s="154"/>
      <c r="J48" s="156"/>
      <c r="K48" s="157"/>
      <c r="L48" s="156"/>
      <c r="M48" s="150"/>
      <c r="N48" s="156"/>
      <c r="O48" s="150"/>
      <c r="P48" s="150"/>
      <c r="Q48" s="150"/>
      <c r="R48" s="143">
        <f t="shared" si="0"/>
        <v>0</v>
      </c>
      <c r="S48" s="143">
        <f t="shared" si="4"/>
        <v>0</v>
      </c>
      <c r="T48" s="143">
        <f t="shared" si="5"/>
        <v>0</v>
      </c>
      <c r="U48" s="144">
        <f t="shared" si="3"/>
        <v>0</v>
      </c>
    </row>
    <row r="49" spans="1:21" s="145" customFormat="1" ht="27.75" customHeight="1">
      <c r="A49" s="152"/>
      <c r="B49" s="153"/>
      <c r="C49" s="154"/>
      <c r="D49" s="155"/>
      <c r="E49" s="154"/>
      <c r="F49" s="156"/>
      <c r="G49" s="149"/>
      <c r="H49" s="154"/>
      <c r="I49" s="154"/>
      <c r="J49" s="156"/>
      <c r="K49" s="157"/>
      <c r="L49" s="156"/>
      <c r="M49" s="150"/>
      <c r="N49" s="156"/>
      <c r="O49" s="150"/>
      <c r="P49" s="150"/>
      <c r="Q49" s="150"/>
      <c r="R49" s="143">
        <f t="shared" si="0"/>
        <v>0</v>
      </c>
      <c r="S49" s="143">
        <f t="shared" si="4"/>
        <v>0</v>
      </c>
      <c r="T49" s="143">
        <f t="shared" si="5"/>
        <v>0</v>
      </c>
      <c r="U49" s="144">
        <f t="shared" si="3"/>
        <v>0</v>
      </c>
    </row>
    <row r="50" spans="1:21" s="145" customFormat="1" ht="27.75" customHeight="1">
      <c r="A50" s="152"/>
      <c r="B50" s="153"/>
      <c r="C50" s="154"/>
      <c r="D50" s="155"/>
      <c r="E50" s="154"/>
      <c r="F50" s="156"/>
      <c r="G50" s="149"/>
      <c r="H50" s="154"/>
      <c r="I50" s="154"/>
      <c r="J50" s="156"/>
      <c r="K50" s="157"/>
      <c r="L50" s="156"/>
      <c r="M50" s="150"/>
      <c r="N50" s="156"/>
      <c r="O50" s="150"/>
      <c r="P50" s="150"/>
      <c r="Q50" s="150"/>
      <c r="R50" s="143">
        <f t="shared" si="0"/>
        <v>0</v>
      </c>
      <c r="S50" s="143">
        <f t="shared" si="4"/>
        <v>0</v>
      </c>
      <c r="T50" s="143">
        <f t="shared" si="5"/>
        <v>0</v>
      </c>
      <c r="U50" s="144">
        <f t="shared" si="3"/>
        <v>0</v>
      </c>
    </row>
    <row r="51" spans="1:21" s="145" customFormat="1" ht="27.75" customHeight="1">
      <c r="A51" s="152"/>
      <c r="B51" s="153"/>
      <c r="C51" s="154"/>
      <c r="D51" s="155"/>
      <c r="E51" s="154"/>
      <c r="F51" s="156"/>
      <c r="G51" s="149"/>
      <c r="H51" s="154"/>
      <c r="I51" s="154"/>
      <c r="J51" s="156"/>
      <c r="K51" s="157"/>
      <c r="L51" s="156"/>
      <c r="M51" s="150"/>
      <c r="N51" s="156"/>
      <c r="O51" s="150"/>
      <c r="P51" s="150"/>
      <c r="Q51" s="150"/>
      <c r="R51" s="143">
        <f t="shared" si="0"/>
        <v>0</v>
      </c>
      <c r="S51" s="143">
        <f t="shared" si="4"/>
        <v>0</v>
      </c>
      <c r="T51" s="143">
        <f t="shared" si="5"/>
        <v>0</v>
      </c>
      <c r="U51" s="144">
        <f t="shared" si="3"/>
        <v>0</v>
      </c>
    </row>
    <row r="52" spans="1:21" s="145" customFormat="1" ht="27.75" customHeight="1">
      <c r="A52" s="152"/>
      <c r="B52" s="153"/>
      <c r="C52" s="154"/>
      <c r="D52" s="155"/>
      <c r="E52" s="154"/>
      <c r="F52" s="156"/>
      <c r="G52" s="149"/>
      <c r="H52" s="154"/>
      <c r="I52" s="154"/>
      <c r="J52" s="156"/>
      <c r="K52" s="157"/>
      <c r="L52" s="156"/>
      <c r="M52" s="150"/>
      <c r="N52" s="156"/>
      <c r="O52" s="150"/>
      <c r="P52" s="150"/>
      <c r="Q52" s="150"/>
      <c r="R52" s="143">
        <f t="shared" si="0"/>
        <v>0</v>
      </c>
      <c r="S52" s="143">
        <f t="shared" si="4"/>
        <v>0</v>
      </c>
      <c r="T52" s="143">
        <f t="shared" si="5"/>
        <v>0</v>
      </c>
      <c r="U52" s="144">
        <f t="shared" si="3"/>
        <v>0</v>
      </c>
    </row>
    <row r="53" spans="1:21" s="145" customFormat="1" ht="27.75" customHeight="1">
      <c r="A53" s="152"/>
      <c r="B53" s="153"/>
      <c r="C53" s="154"/>
      <c r="D53" s="155"/>
      <c r="E53" s="154"/>
      <c r="F53" s="156"/>
      <c r="G53" s="149"/>
      <c r="H53" s="154"/>
      <c r="I53" s="154"/>
      <c r="J53" s="156"/>
      <c r="K53" s="157"/>
      <c r="L53" s="156"/>
      <c r="M53" s="150"/>
      <c r="N53" s="156"/>
      <c r="O53" s="150"/>
      <c r="P53" s="150"/>
      <c r="Q53" s="150"/>
      <c r="R53" s="143">
        <f t="shared" si="0"/>
        <v>0</v>
      </c>
      <c r="S53" s="143">
        <f t="shared" si="4"/>
        <v>0</v>
      </c>
      <c r="T53" s="143">
        <f t="shared" si="5"/>
        <v>0</v>
      </c>
      <c r="U53" s="144">
        <f t="shared" si="3"/>
        <v>0</v>
      </c>
    </row>
    <row r="54" spans="1:21" s="145" customFormat="1" ht="27.75" customHeight="1">
      <c r="A54" s="152"/>
      <c r="B54" s="153"/>
      <c r="C54" s="154"/>
      <c r="D54" s="155"/>
      <c r="E54" s="154"/>
      <c r="F54" s="156"/>
      <c r="G54" s="149"/>
      <c r="H54" s="154"/>
      <c r="I54" s="154"/>
      <c r="J54" s="156"/>
      <c r="K54" s="157"/>
      <c r="L54" s="156"/>
      <c r="M54" s="150"/>
      <c r="N54" s="156"/>
      <c r="O54" s="150"/>
      <c r="P54" s="150"/>
      <c r="Q54" s="150"/>
      <c r="R54" s="143">
        <f t="shared" si="0"/>
        <v>0</v>
      </c>
      <c r="S54" s="143">
        <f t="shared" si="4"/>
        <v>0</v>
      </c>
      <c r="T54" s="143">
        <f t="shared" si="5"/>
        <v>0</v>
      </c>
      <c r="U54" s="144">
        <f t="shared" si="3"/>
        <v>0</v>
      </c>
    </row>
    <row r="55" spans="1:21" s="145" customFormat="1" ht="27.75" customHeight="1">
      <c r="A55" s="152"/>
      <c r="B55" s="153"/>
      <c r="C55" s="154"/>
      <c r="D55" s="155"/>
      <c r="E55" s="154"/>
      <c r="F55" s="156"/>
      <c r="G55" s="149"/>
      <c r="H55" s="154"/>
      <c r="I55" s="154"/>
      <c r="J55" s="156"/>
      <c r="K55" s="157"/>
      <c r="L55" s="156"/>
      <c r="M55" s="150"/>
      <c r="N55" s="156"/>
      <c r="O55" s="150"/>
      <c r="P55" s="150"/>
      <c r="Q55" s="150"/>
      <c r="R55" s="143">
        <f t="shared" si="0"/>
        <v>0</v>
      </c>
      <c r="S55" s="143">
        <f t="shared" si="4"/>
        <v>0</v>
      </c>
      <c r="T55" s="143">
        <f t="shared" si="5"/>
        <v>0</v>
      </c>
      <c r="U55" s="144">
        <f t="shared" si="3"/>
        <v>0</v>
      </c>
    </row>
    <row r="56" spans="1:21" s="145" customFormat="1" ht="27.75" customHeight="1">
      <c r="A56" s="152"/>
      <c r="B56" s="153"/>
      <c r="C56" s="154"/>
      <c r="D56" s="155"/>
      <c r="E56" s="154"/>
      <c r="F56" s="156"/>
      <c r="G56" s="149"/>
      <c r="H56" s="154"/>
      <c r="I56" s="154"/>
      <c r="J56" s="156"/>
      <c r="K56" s="157"/>
      <c r="L56" s="156"/>
      <c r="M56" s="150"/>
      <c r="N56" s="156"/>
      <c r="O56" s="150"/>
      <c r="P56" s="150"/>
      <c r="Q56" s="150"/>
      <c r="R56" s="143">
        <f t="shared" si="0"/>
        <v>0</v>
      </c>
      <c r="S56" s="143">
        <f t="shared" si="4"/>
        <v>0</v>
      </c>
      <c r="T56" s="143">
        <f t="shared" si="5"/>
        <v>0</v>
      </c>
      <c r="U56" s="144">
        <f t="shared" si="3"/>
        <v>0</v>
      </c>
    </row>
    <row r="57" spans="1:21" s="145" customFormat="1" ht="27.75" customHeight="1">
      <c r="A57" s="152"/>
      <c r="B57" s="153"/>
      <c r="C57" s="154"/>
      <c r="D57" s="155"/>
      <c r="E57" s="154"/>
      <c r="F57" s="156"/>
      <c r="G57" s="149"/>
      <c r="H57" s="154"/>
      <c r="I57" s="154"/>
      <c r="J57" s="156"/>
      <c r="K57" s="157"/>
      <c r="L57" s="156"/>
      <c r="M57" s="150"/>
      <c r="N57" s="156"/>
      <c r="O57" s="150"/>
      <c r="P57" s="150"/>
      <c r="Q57" s="150"/>
      <c r="R57" s="143">
        <f t="shared" si="0"/>
        <v>0</v>
      </c>
      <c r="S57" s="143">
        <f t="shared" si="4"/>
        <v>0</v>
      </c>
      <c r="T57" s="143">
        <f t="shared" si="5"/>
        <v>0</v>
      </c>
      <c r="U57" s="144">
        <f t="shared" si="3"/>
        <v>0</v>
      </c>
    </row>
    <row r="58" spans="1:21" s="145" customFormat="1" ht="27.75" customHeight="1">
      <c r="A58" s="152"/>
      <c r="B58" s="153"/>
      <c r="C58" s="154"/>
      <c r="D58" s="155"/>
      <c r="E58" s="154"/>
      <c r="F58" s="156"/>
      <c r="G58" s="149"/>
      <c r="H58" s="154"/>
      <c r="I58" s="154"/>
      <c r="J58" s="156"/>
      <c r="K58" s="157"/>
      <c r="L58" s="156"/>
      <c r="M58" s="150"/>
      <c r="N58" s="156"/>
      <c r="O58" s="150"/>
      <c r="P58" s="150"/>
      <c r="Q58" s="150"/>
      <c r="R58" s="143">
        <f t="shared" si="0"/>
        <v>0</v>
      </c>
      <c r="S58" s="143">
        <f t="shared" si="4"/>
        <v>0</v>
      </c>
      <c r="T58" s="143">
        <f t="shared" si="5"/>
        <v>0</v>
      </c>
      <c r="U58" s="144">
        <f t="shared" si="3"/>
        <v>0</v>
      </c>
    </row>
    <row r="59" spans="1:21" s="145" customFormat="1" ht="27.75" customHeight="1">
      <c r="A59" s="152"/>
      <c r="B59" s="153"/>
      <c r="C59" s="154"/>
      <c r="D59" s="155"/>
      <c r="E59" s="154"/>
      <c r="F59" s="156"/>
      <c r="G59" s="149"/>
      <c r="H59" s="154"/>
      <c r="I59" s="154"/>
      <c r="J59" s="156"/>
      <c r="K59" s="157"/>
      <c r="L59" s="156"/>
      <c r="M59" s="150"/>
      <c r="N59" s="156"/>
      <c r="O59" s="150"/>
      <c r="P59" s="150"/>
      <c r="Q59" s="150"/>
      <c r="R59" s="143">
        <f t="shared" si="0"/>
        <v>0</v>
      </c>
      <c r="S59" s="143">
        <f t="shared" si="4"/>
        <v>0</v>
      </c>
      <c r="T59" s="143">
        <f t="shared" si="5"/>
        <v>0</v>
      </c>
      <c r="U59" s="144">
        <f t="shared" si="3"/>
        <v>0</v>
      </c>
    </row>
    <row r="60" spans="1:21" s="145" customFormat="1" ht="27.75" customHeight="1">
      <c r="A60" s="152"/>
      <c r="B60" s="153"/>
      <c r="C60" s="154"/>
      <c r="D60" s="155"/>
      <c r="E60" s="154"/>
      <c r="F60" s="156"/>
      <c r="G60" s="149"/>
      <c r="H60" s="154"/>
      <c r="I60" s="154"/>
      <c r="J60" s="156"/>
      <c r="K60" s="157"/>
      <c r="L60" s="156"/>
      <c r="M60" s="150"/>
      <c r="N60" s="156"/>
      <c r="O60" s="150"/>
      <c r="P60" s="150"/>
      <c r="Q60" s="150"/>
      <c r="R60" s="143">
        <f t="shared" si="0"/>
        <v>0</v>
      </c>
      <c r="S60" s="143">
        <f t="shared" si="4"/>
        <v>0</v>
      </c>
      <c r="T60" s="143">
        <f t="shared" si="5"/>
        <v>0</v>
      </c>
      <c r="U60" s="144">
        <f t="shared" si="3"/>
        <v>0</v>
      </c>
    </row>
    <row r="61" spans="1:21" s="145" customFormat="1" ht="27.75" customHeight="1">
      <c r="A61" s="152"/>
      <c r="B61" s="153"/>
      <c r="C61" s="154"/>
      <c r="D61" s="155"/>
      <c r="E61" s="154"/>
      <c r="F61" s="156"/>
      <c r="G61" s="149"/>
      <c r="H61" s="154"/>
      <c r="I61" s="154"/>
      <c r="J61" s="156"/>
      <c r="K61" s="157"/>
      <c r="L61" s="156"/>
      <c r="M61" s="150"/>
      <c r="N61" s="156"/>
      <c r="O61" s="150"/>
      <c r="P61" s="150"/>
      <c r="Q61" s="150"/>
      <c r="R61" s="143">
        <f t="shared" si="0"/>
        <v>0</v>
      </c>
      <c r="S61" s="143">
        <f t="shared" si="4"/>
        <v>0</v>
      </c>
      <c r="T61" s="143">
        <f t="shared" si="5"/>
        <v>0</v>
      </c>
      <c r="U61" s="144">
        <f t="shared" si="3"/>
        <v>0</v>
      </c>
    </row>
    <row r="62" spans="1:21" s="145" customFormat="1" ht="27.75" customHeight="1">
      <c r="A62" s="152"/>
      <c r="B62" s="153"/>
      <c r="C62" s="154"/>
      <c r="D62" s="155"/>
      <c r="E62" s="154"/>
      <c r="F62" s="156"/>
      <c r="G62" s="149"/>
      <c r="H62" s="154"/>
      <c r="I62" s="154"/>
      <c r="J62" s="156"/>
      <c r="K62" s="157"/>
      <c r="L62" s="156"/>
      <c r="M62" s="150"/>
      <c r="N62" s="156"/>
      <c r="O62" s="150"/>
      <c r="P62" s="150"/>
      <c r="Q62" s="150"/>
      <c r="R62" s="143">
        <f t="shared" si="0"/>
        <v>0</v>
      </c>
      <c r="S62" s="143">
        <f t="shared" si="4"/>
        <v>0</v>
      </c>
      <c r="T62" s="143">
        <f t="shared" si="5"/>
        <v>0</v>
      </c>
      <c r="U62" s="144">
        <f t="shared" si="3"/>
        <v>0</v>
      </c>
    </row>
    <row r="63" spans="1:21" s="145" customFormat="1" ht="27.75" customHeight="1">
      <c r="A63" s="152"/>
      <c r="B63" s="153"/>
      <c r="C63" s="154"/>
      <c r="D63" s="155"/>
      <c r="E63" s="154"/>
      <c r="F63" s="156"/>
      <c r="G63" s="149"/>
      <c r="H63" s="154"/>
      <c r="I63" s="154"/>
      <c r="J63" s="156"/>
      <c r="K63" s="157"/>
      <c r="L63" s="156"/>
      <c r="M63" s="150"/>
      <c r="N63" s="156"/>
      <c r="O63" s="150"/>
      <c r="P63" s="150"/>
      <c r="Q63" s="150"/>
      <c r="R63" s="143">
        <f t="shared" si="0"/>
        <v>0</v>
      </c>
      <c r="S63" s="143">
        <f t="shared" si="4"/>
        <v>0</v>
      </c>
      <c r="T63" s="143">
        <f t="shared" si="5"/>
        <v>0</v>
      </c>
      <c r="U63" s="144">
        <f t="shared" si="3"/>
        <v>0</v>
      </c>
    </row>
    <row r="64" spans="1:4" ht="15">
      <c r="A64" s="160"/>
      <c r="C64" s="161"/>
      <c r="D64" s="162"/>
    </row>
    <row r="65" spans="1:4" ht="15" customHeight="1">
      <c r="A65" s="104"/>
      <c r="C65" s="161"/>
      <c r="D65" s="162"/>
    </row>
    <row r="66" spans="1:4" ht="15">
      <c r="A66" s="163"/>
      <c r="C66" s="164"/>
      <c r="D66" s="165"/>
    </row>
    <row r="67" spans="1:4" ht="15">
      <c r="A67" s="163"/>
      <c r="C67" s="161"/>
      <c r="D67" s="162"/>
    </row>
  </sheetData>
  <sheetProtection password="88A3" sheet="1" objects="1" scenarios="1" autoFilter="0"/>
  <conditionalFormatting sqref="N8:N63 N4:N6 L7">
    <cfRule type="expression" priority="1" dxfId="6" stopIfTrue="1">
      <formula>($P4&lt;&gt;"")*($A$2&lt;&gt;"découverte")*ISBLANK(L4)</formula>
    </cfRule>
  </conditionalFormatting>
  <conditionalFormatting sqref="T4:T63">
    <cfRule type="cellIs" priority="2" dxfId="7" operator="greaterThanOrEqual" stopIfTrue="1">
      <formula>"non"</formula>
    </cfRule>
  </conditionalFormatting>
  <conditionalFormatting sqref="O4:P63">
    <cfRule type="expression" priority="3" dxfId="8" stopIfTrue="1">
      <formula>$A$2&lt;&gt;"découverte"</formula>
    </cfRule>
  </conditionalFormatting>
  <conditionalFormatting sqref="S4:S63">
    <cfRule type="expression" priority="4" dxfId="9" stopIfTrue="1">
      <formula>($A$2&lt;&gt;"découverte")*(OR(S4&lt;3,S4&gt;4))</formula>
    </cfRule>
  </conditionalFormatting>
  <conditionalFormatting sqref="A4:A63">
    <cfRule type="expression" priority="5" dxfId="0" stopIfTrue="1">
      <formula>(COUNTIF($A:$A,A4)&gt;1)</formula>
    </cfRule>
  </conditionalFormatting>
  <conditionalFormatting sqref="C14:C63 C4:C12">
    <cfRule type="expression" priority="6" dxfId="10" stopIfTrue="1">
      <formula>($A4&lt;&gt;"")*($A$2&lt;&gt;"découverte")*($A$2&lt;&gt;"autre")*ISBLANK(C4)</formula>
    </cfRule>
    <cfRule type="expression" priority="7" dxfId="11" stopIfTrue="1">
      <formula>(COUNTIF($C:$C,C4)&gt;1)</formula>
    </cfRule>
  </conditionalFormatting>
  <conditionalFormatting sqref="B4:B63">
    <cfRule type="expression" priority="8" dxfId="11" stopIfTrue="1">
      <formula>(COUNTIF($B:$B,B4)&gt;1)</formula>
    </cfRule>
  </conditionalFormatting>
  <conditionalFormatting sqref="E14:E63 E4:E12">
    <cfRule type="expression" priority="9" dxfId="10" stopIfTrue="1">
      <formula>($A4&lt;&gt;"")*($A$2&lt;&gt;"découverte")*($A$2&lt;&gt;"autre")*ISBLANK(E4)</formula>
    </cfRule>
    <cfRule type="expression" priority="10" dxfId="11" stopIfTrue="1">
      <formula>(COUNTIF($C:$C,E4)&gt;1)</formula>
    </cfRule>
  </conditionalFormatting>
  <conditionalFormatting sqref="U4:U63">
    <cfRule type="cellIs" priority="11" dxfId="7" operator="greaterThanOrEqual" stopIfTrue="1">
      <formula>"non"</formula>
    </cfRule>
  </conditionalFormatting>
  <conditionalFormatting sqref="G4:G63">
    <cfRule type="expression" priority="12" dxfId="12" stopIfTrue="1">
      <formula>($A4&lt;&gt;"")*ISBLANK($G4)</formula>
    </cfRule>
  </conditionalFormatting>
  <conditionalFormatting sqref="A13:B13 F13:IV13 A4:IV6 A12:IV12 A11:J11 L11:IV11 D13 A8:IV10 A7:L7 O7:IV7 A14:IV63">
    <cfRule type="expression" priority="13" dxfId="13" stopIfTrue="1">
      <formula>MOD(ROW(A4),2)=0</formula>
    </cfRule>
  </conditionalFormatting>
  <conditionalFormatting sqref="H4:H63 I4:I14 I16:I63">
    <cfRule type="expression" priority="14" dxfId="11" stopIfTrue="1">
      <formula>(COUNTIF($C:$C,H4)&gt;1)</formula>
    </cfRule>
  </conditionalFormatting>
  <conditionalFormatting sqref="H4:H63">
    <cfRule type="expression" priority="15" dxfId="10" stopIfTrue="1">
      <formula>($A4&lt;&gt;"")*($A$2&lt;&gt;"découverte")*($A$2&lt;&gt;"autre")*ISBLANK(H4)</formula>
    </cfRule>
    <cfRule type="expression" priority="16" dxfId="11" stopIfTrue="1">
      <formula>(COUNTIF($C:$C,H4)&gt;1)</formula>
    </cfRule>
  </conditionalFormatting>
  <hyperlinks>
    <hyperlink ref="H7" r:id="rId1" display="tiercelin.jean-luc.20@orange.fr"/>
    <hyperlink ref="H8" r:id="rId2" display="gerard.draa@gmail.com"/>
    <hyperlink ref="H15" r:id="rId3" display="aurelie.mialhe@neuf.fr"/>
  </hyperlinks>
  <printOptions horizontalCentered="1"/>
  <pageMargins left="0.27569444444444446" right="0.27569444444444446" top="0.39305555555555555" bottom="0.39305555555555555" header="0.19652777777777777" footer="0.19652777777777777"/>
  <pageSetup fitToHeight="0" fitToWidth="2" horizontalDpi="300" verticalDpi="300" orientation="landscape" pageOrder="overThenDown" paperSize="9"/>
  <headerFooter alignWithMargins="0">
    <oddHeader>&amp;L&amp;F&amp;R&amp;A (&amp;P)</oddHeader>
    <oddFooter>&amp;R&amp;P / &amp;N</oddFooter>
  </headerFooter>
  <rowBreaks count="1" manualBreakCount="1">
    <brk id="25" max="255" man="1"/>
  </rowBreaks>
  <legacyDrawing r:id="rId5"/>
</worksheet>
</file>

<file path=xl/worksheets/sheet4.xml><?xml version="1.0" encoding="utf-8"?>
<worksheet xmlns="http://schemas.openxmlformats.org/spreadsheetml/2006/main" xmlns:r="http://schemas.openxmlformats.org/officeDocument/2006/relationships">
  <sheetPr>
    <tabColor indexed="9"/>
    <pageSetUpPr fitToPage="1"/>
  </sheetPr>
  <dimension ref="A1:R63"/>
  <sheetViews>
    <sheetView zoomScale="90" zoomScaleNormal="90" zoomScaleSheetLayoutView="100" workbookViewId="0" topLeftCell="A1">
      <pane xSplit="4" ySplit="3" topLeftCell="E7" activePane="bottomRight" state="frozen"/>
      <selection pane="topLeft" activeCell="A1" sqref="A1"/>
      <selection pane="topRight" activeCell="E1" sqref="E1"/>
      <selection pane="bottomLeft" activeCell="A7" sqref="A7"/>
      <selection pane="bottomRight" activeCell="D16" sqref="D16"/>
    </sheetView>
  </sheetViews>
  <sheetFormatPr defaultColWidth="9.140625" defaultRowHeight="15"/>
  <cols>
    <col min="1" max="1" width="12.28125" style="166" customWidth="1"/>
    <col min="2" max="2" width="8.421875" style="166" customWidth="1"/>
    <col min="3" max="3" width="8.7109375" style="166" customWidth="1"/>
    <col min="4" max="4" width="36.00390625" style="167" customWidth="1"/>
    <col min="5" max="5" width="46.57421875" style="168" customWidth="1"/>
    <col min="6" max="6" width="33.421875" style="167" customWidth="1"/>
    <col min="7" max="7" width="3.140625" style="166" customWidth="1"/>
    <col min="8" max="8" width="20.7109375" style="168" customWidth="1"/>
    <col min="9" max="9" width="10.7109375" style="166" customWidth="1"/>
    <col min="10" max="10" width="14.7109375" style="166" customWidth="1"/>
    <col min="11" max="11" width="20.7109375" style="168" customWidth="1"/>
    <col min="12" max="12" width="10.7109375" style="166" customWidth="1"/>
    <col min="13" max="13" width="20.7109375" style="168" customWidth="1"/>
    <col min="14" max="14" width="10.7109375" style="166" customWidth="1"/>
    <col min="15" max="15" width="20.7109375" style="169" customWidth="1"/>
    <col min="16" max="16" width="10.7109375" style="166" customWidth="1"/>
    <col min="17" max="18" width="20.7109375" style="169" customWidth="1"/>
    <col min="19" max="16384" width="11.421875" style="166" customWidth="1"/>
  </cols>
  <sheetData>
    <row r="1" spans="1:18" s="173" customFormat="1" ht="24.75" customHeight="1">
      <c r="A1" s="170" t="s">
        <v>226</v>
      </c>
      <c r="B1" s="171"/>
      <c r="C1" s="172">
        <f>Parcours!$B$1</f>
        <v>0</v>
      </c>
      <c r="D1" s="172"/>
      <c r="E1" s="172"/>
      <c r="F1" s="172"/>
      <c r="G1" s="171"/>
      <c r="H1" s="172"/>
      <c r="I1" s="172"/>
      <c r="J1" s="171"/>
      <c r="K1" s="172"/>
      <c r="L1" s="172"/>
      <c r="M1" s="172"/>
      <c r="N1" s="172"/>
      <c r="P1" s="172"/>
      <c r="R1" s="172"/>
    </row>
    <row r="2" spans="1:18" s="176" customFormat="1" ht="24.75" customHeight="1">
      <c r="A2" s="174">
        <f>Niveau</f>
        <v>0</v>
      </c>
      <c r="B2" s="111"/>
      <c r="C2" s="42">
        <f>Parcours!$B$2</f>
        <v>0</v>
      </c>
      <c r="D2" s="122"/>
      <c r="E2" s="122"/>
      <c r="F2" s="122"/>
      <c r="G2" s="124"/>
      <c r="H2" s="42"/>
      <c r="I2" s="42"/>
      <c r="J2" s="175"/>
      <c r="K2" s="42"/>
      <c r="L2" s="42"/>
      <c r="M2" s="42"/>
      <c r="N2" s="42"/>
      <c r="P2" s="42"/>
      <c r="R2" s="42"/>
    </row>
    <row r="3" spans="1:18" s="189" customFormat="1" ht="39.75" customHeight="1">
      <c r="A3" s="177" t="s">
        <v>227</v>
      </c>
      <c r="B3" s="178" t="s">
        <v>228</v>
      </c>
      <c r="C3" s="179" t="s">
        <v>229</v>
      </c>
      <c r="D3" s="180" t="s">
        <v>230</v>
      </c>
      <c r="E3" s="181" t="s">
        <v>85</v>
      </c>
      <c r="F3" s="182" t="s">
        <v>86</v>
      </c>
      <c r="G3" s="183" t="s">
        <v>98</v>
      </c>
      <c r="H3" s="184" t="s">
        <v>87</v>
      </c>
      <c r="I3" s="185" t="s">
        <v>88</v>
      </c>
      <c r="J3" s="186" t="s">
        <v>89</v>
      </c>
      <c r="K3" s="184" t="s">
        <v>91</v>
      </c>
      <c r="L3" s="186" t="s">
        <v>88</v>
      </c>
      <c r="M3" s="184" t="s">
        <v>92</v>
      </c>
      <c r="N3" s="186" t="s">
        <v>88</v>
      </c>
      <c r="O3" s="187" t="s">
        <v>93</v>
      </c>
      <c r="P3" s="186" t="s">
        <v>88</v>
      </c>
      <c r="Q3" s="187" t="s">
        <v>94</v>
      </c>
      <c r="R3" s="188" t="s">
        <v>95</v>
      </c>
    </row>
    <row r="4" spans="1:18" s="198" customFormat="1" ht="30" customHeight="1">
      <c r="A4" s="190">
        <f aca="true" t="shared" si="0" ref="A4:A63">IF(ISBLANK(D4),"",ROW(A4)-3)</f>
        <v>1</v>
      </c>
      <c r="B4" s="191">
        <f aca="true" t="shared" si="1" ref="B4:B63">Début_épreuve+((ROW()-4)*Intervalle)/1440</f>
        <v>0.3541666666666667</v>
      </c>
      <c r="C4" s="192">
        <f aca="true" t="shared" si="2" ref="C4:C63">IF(A4="","",B4)</f>
        <v>0.3541666666666667</v>
      </c>
      <c r="D4" s="137" t="s">
        <v>101</v>
      </c>
      <c r="E4" s="193">
        <f aca="true" t="shared" si="3" ref="E4:E63">IF($D4="","",VLOOKUP($D4,Inscriptions,COLUMN(Club),FALSE))</f>
        <v>0</v>
      </c>
      <c r="F4" s="194">
        <f aca="true" t="shared" si="4" ref="F4:F63">IF($D4="","",VLOOKUP($D4,Inscriptions,COLUMN(Ville),FALSE))</f>
        <v>0</v>
      </c>
      <c r="G4" s="195">
        <f aca="true" t="shared" si="5" ref="G4:G63">IF($D4="","",VLOOKUP($D4,Inscriptions,COLUMN(Effectif),FALSE))</f>
        <v>4</v>
      </c>
      <c r="H4" s="196">
        <f aca="true" t="shared" si="6" ref="H4:H63">IF($D4="","",VLOOKUP($D4,Inscriptions,COLUMN(Capitaine),FALSE))</f>
        <v>0</v>
      </c>
      <c r="I4" s="195">
        <f aca="true" t="shared" si="7" ref="I4:I63">IF($D4="","",VLOOKUP($D4,Inscriptions,COLUMN(Licence_c),FALSE))</f>
        <v>0</v>
      </c>
      <c r="J4" s="197">
        <f aca="true" t="shared" si="8" ref="J4:J63">IF($D4="","",VLOOKUP($D4,Inscriptions,COLUMN(Téléphone),FALSE))</f>
        <v>689887857</v>
      </c>
      <c r="K4" s="196">
        <f aca="true" t="shared" si="9" ref="K4:K63">IF($D4="","",VLOOKUP($D4,Inscriptions,COLUMN(équipier_1),FALSE))</f>
        <v>0</v>
      </c>
      <c r="L4" s="196">
        <f aca="true" t="shared" si="10" ref="L4:L63">IF($D4="","",VLOOKUP($D4,Inscriptions,COLUMN(Licence_1),FALSE))</f>
        <v>0</v>
      </c>
      <c r="M4" s="196">
        <f aca="true" t="shared" si="11" ref="M4:M63">IF($D4="","",VLOOKUP($D4,Inscriptions,COLUMN(équipier_2),FALSE))</f>
        <v>0</v>
      </c>
      <c r="N4" s="196">
        <f aca="true" t="shared" si="12" ref="N4:N63">IF($D4="","",VLOOKUP($D4,Inscriptions,COLUMN(Licence_2),FALSE))</f>
        <v>0</v>
      </c>
      <c r="O4" s="196">
        <f aca="true" t="shared" si="13" ref="O4:O63">IF(D4="","",IF($G4&gt;3,VLOOKUP($D4,Inscriptions,COLUMN(équipier_3),FALSE),""))</f>
        <v>0</v>
      </c>
      <c r="P4" s="196">
        <f aca="true" t="shared" si="14" ref="P4:P63">IF($D4="","",IF(G4&gt;3,VLOOKUP($D4,Inscriptions,COLUMN(Licence_3),FALSE),""))</f>
        <v>0</v>
      </c>
      <c r="Q4" s="196">
        <f aca="true" t="shared" si="15" ref="Q4:Q63">IF(G4="","",IF($G4&gt;3,VLOOKUP($D4,Inscriptions,COLUMN(équipier_4),FALSE),""))</f>
        <v>0</v>
      </c>
      <c r="R4" s="196">
        <f aca="true" t="shared" si="16" ref="R4:R63">IF(H4="","",IF($G4&gt;3,VLOOKUP($D4,Inscriptions,COLUMN(équipier_5),FALSE),""))</f>
        <v>0</v>
      </c>
    </row>
    <row r="5" spans="1:18" s="198" customFormat="1" ht="30" customHeight="1">
      <c r="A5" s="190">
        <f t="shared" si="0"/>
        <v>2</v>
      </c>
      <c r="B5" s="191">
        <f t="shared" si="1"/>
        <v>0.3576388888888889</v>
      </c>
      <c r="C5" s="192">
        <f t="shared" si="2"/>
        <v>0.3576388888888889</v>
      </c>
      <c r="D5" s="146" t="s">
        <v>111</v>
      </c>
      <c r="E5" s="193">
        <f t="shared" si="3"/>
        <v>0</v>
      </c>
      <c r="F5" s="194">
        <f t="shared" si="4"/>
        <v>0</v>
      </c>
      <c r="G5" s="195">
        <f t="shared" si="5"/>
        <v>3</v>
      </c>
      <c r="H5" s="196">
        <f t="shared" si="6"/>
        <v>0</v>
      </c>
      <c r="I5" s="196">
        <f t="shared" si="7"/>
        <v>0</v>
      </c>
      <c r="J5" s="197">
        <f t="shared" si="8"/>
        <v>623354112</v>
      </c>
      <c r="K5" s="196">
        <f t="shared" si="9"/>
        <v>0</v>
      </c>
      <c r="L5" s="196">
        <f t="shared" si="10"/>
        <v>0</v>
      </c>
      <c r="M5" s="196">
        <f t="shared" si="11"/>
        <v>0</v>
      </c>
      <c r="N5" s="196">
        <f t="shared" si="12"/>
        <v>0</v>
      </c>
      <c r="O5" s="196">
        <f t="shared" si="13"/>
        <v>0</v>
      </c>
      <c r="P5" s="196">
        <f t="shared" si="14"/>
        <v>0</v>
      </c>
      <c r="Q5" s="196">
        <f t="shared" si="15"/>
        <v>0</v>
      </c>
      <c r="R5" s="196">
        <f t="shared" si="16"/>
        <v>0</v>
      </c>
    </row>
    <row r="6" spans="1:18" s="198" customFormat="1" ht="30" customHeight="1">
      <c r="A6" s="190">
        <f t="shared" si="0"/>
        <v>3</v>
      </c>
      <c r="B6" s="191">
        <f t="shared" si="1"/>
        <v>0.3611111111111111</v>
      </c>
      <c r="C6" s="192">
        <f t="shared" si="2"/>
        <v>0.3611111111111111</v>
      </c>
      <c r="D6" s="146" t="s">
        <v>120</v>
      </c>
      <c r="E6" s="193">
        <f t="shared" si="3"/>
        <v>0</v>
      </c>
      <c r="F6" s="194">
        <f t="shared" si="4"/>
        <v>0</v>
      </c>
      <c r="G6" s="195">
        <f t="shared" si="5"/>
        <v>4</v>
      </c>
      <c r="H6" s="196">
        <f t="shared" si="6"/>
        <v>0</v>
      </c>
      <c r="I6" s="196">
        <f t="shared" si="7"/>
        <v>0</v>
      </c>
      <c r="J6" s="197">
        <f t="shared" si="8"/>
        <v>685524951</v>
      </c>
      <c r="K6" s="196">
        <f t="shared" si="9"/>
        <v>0</v>
      </c>
      <c r="L6" s="196">
        <f t="shared" si="10"/>
        <v>0</v>
      </c>
      <c r="M6" s="196">
        <f t="shared" si="11"/>
        <v>0</v>
      </c>
      <c r="N6" s="196">
        <f t="shared" si="12"/>
        <v>0</v>
      </c>
      <c r="O6" s="196">
        <f t="shared" si="13"/>
        <v>0</v>
      </c>
      <c r="P6" s="196">
        <f t="shared" si="14"/>
        <v>0</v>
      </c>
      <c r="Q6" s="196">
        <f t="shared" si="15"/>
        <v>0</v>
      </c>
      <c r="R6" s="196">
        <f t="shared" si="16"/>
        <v>0</v>
      </c>
    </row>
    <row r="7" spans="1:18" s="198" customFormat="1" ht="30" customHeight="1">
      <c r="A7" s="190">
        <f t="shared" si="0"/>
        <v>4</v>
      </c>
      <c r="B7" s="191">
        <f t="shared" si="1"/>
        <v>0.36458333333333337</v>
      </c>
      <c r="C7" s="192">
        <f t="shared" si="2"/>
        <v>0.36458333333333337</v>
      </c>
      <c r="D7" s="146" t="s">
        <v>131</v>
      </c>
      <c r="E7" s="193">
        <f t="shared" si="3"/>
        <v>0</v>
      </c>
      <c r="F7" s="194">
        <f t="shared" si="4"/>
        <v>0</v>
      </c>
      <c r="G7" s="195">
        <f t="shared" si="5"/>
        <v>4</v>
      </c>
      <c r="H7" s="196">
        <f t="shared" si="6"/>
        <v>0</v>
      </c>
      <c r="I7" s="196">
        <f t="shared" si="7"/>
        <v>0</v>
      </c>
      <c r="J7" s="197">
        <f t="shared" si="8"/>
        <v>622983123</v>
      </c>
      <c r="K7" s="196">
        <f t="shared" si="9"/>
        <v>0</v>
      </c>
      <c r="L7" s="196">
        <f t="shared" si="10"/>
        <v>0</v>
      </c>
      <c r="M7" s="196">
        <f t="shared" si="11"/>
        <v>0</v>
      </c>
      <c r="N7" s="196">
        <f t="shared" si="12"/>
        <v>0</v>
      </c>
      <c r="O7" s="196">
        <f t="shared" si="13"/>
        <v>0</v>
      </c>
      <c r="P7" s="196">
        <f t="shared" si="14"/>
        <v>0</v>
      </c>
      <c r="Q7" s="196">
        <f t="shared" si="15"/>
        <v>0</v>
      </c>
      <c r="R7" s="196">
        <f t="shared" si="16"/>
        <v>0</v>
      </c>
    </row>
    <row r="8" spans="1:18" s="198" customFormat="1" ht="30" customHeight="1">
      <c r="A8" s="190">
        <f t="shared" si="0"/>
        <v>5</v>
      </c>
      <c r="B8" s="191">
        <f t="shared" si="1"/>
        <v>0.3680555555555556</v>
      </c>
      <c r="C8" s="192">
        <f t="shared" si="2"/>
        <v>0.3680555555555556</v>
      </c>
      <c r="D8" s="146" t="s">
        <v>140</v>
      </c>
      <c r="E8" s="193">
        <f t="shared" si="3"/>
        <v>0</v>
      </c>
      <c r="F8" s="194">
        <f t="shared" si="4"/>
        <v>0</v>
      </c>
      <c r="G8" s="195">
        <f t="shared" si="5"/>
        <v>3</v>
      </c>
      <c r="H8" s="196">
        <f t="shared" si="6"/>
        <v>0</v>
      </c>
      <c r="I8" s="196">
        <f t="shared" si="7"/>
        <v>0</v>
      </c>
      <c r="J8" s="197">
        <f t="shared" si="8"/>
        <v>782840330</v>
      </c>
      <c r="K8" s="196">
        <f t="shared" si="9"/>
        <v>0</v>
      </c>
      <c r="L8" s="196">
        <f t="shared" si="10"/>
        <v>0</v>
      </c>
      <c r="M8" s="196">
        <f t="shared" si="11"/>
        <v>0</v>
      </c>
      <c r="N8" s="196">
        <f t="shared" si="12"/>
        <v>0</v>
      </c>
      <c r="O8" s="196">
        <f t="shared" si="13"/>
        <v>0</v>
      </c>
      <c r="P8" s="196">
        <f t="shared" si="14"/>
        <v>0</v>
      </c>
      <c r="Q8" s="196">
        <f t="shared" si="15"/>
        <v>0</v>
      </c>
      <c r="R8" s="196">
        <f t="shared" si="16"/>
        <v>0</v>
      </c>
    </row>
    <row r="9" spans="1:18" s="198" customFormat="1" ht="30" customHeight="1">
      <c r="A9" s="190">
        <f t="shared" si="0"/>
        <v>0</v>
      </c>
      <c r="B9" s="191">
        <f t="shared" si="1"/>
        <v>0.3715277777777778</v>
      </c>
      <c r="C9" s="192">
        <f t="shared" si="2"/>
        <v>0</v>
      </c>
      <c r="D9" s="146"/>
      <c r="E9" s="193">
        <f t="shared" si="3"/>
        <v>0</v>
      </c>
      <c r="F9" s="194">
        <f t="shared" si="4"/>
        <v>0</v>
      </c>
      <c r="G9" s="195">
        <f t="shared" si="5"/>
        <v>0</v>
      </c>
      <c r="H9" s="196">
        <f t="shared" si="6"/>
        <v>0</v>
      </c>
      <c r="I9" s="196">
        <f t="shared" si="7"/>
        <v>0</v>
      </c>
      <c r="J9" s="197">
        <f t="shared" si="8"/>
        <v>0</v>
      </c>
      <c r="K9" s="196">
        <f t="shared" si="9"/>
        <v>0</v>
      </c>
      <c r="L9" s="196">
        <f t="shared" si="10"/>
        <v>0</v>
      </c>
      <c r="M9" s="196">
        <f t="shared" si="11"/>
        <v>0</v>
      </c>
      <c r="N9" s="196">
        <f t="shared" si="12"/>
        <v>0</v>
      </c>
      <c r="O9" s="196">
        <f t="shared" si="13"/>
        <v>0</v>
      </c>
      <c r="P9" s="196">
        <f t="shared" si="14"/>
        <v>0</v>
      </c>
      <c r="Q9" s="196">
        <f t="shared" si="15"/>
        <v>0</v>
      </c>
      <c r="R9" s="196">
        <f t="shared" si="16"/>
        <v>0</v>
      </c>
    </row>
    <row r="10" spans="1:18" s="198" customFormat="1" ht="30" customHeight="1">
      <c r="A10" s="190">
        <f t="shared" si="0"/>
        <v>7</v>
      </c>
      <c r="B10" s="191">
        <f t="shared" si="1"/>
        <v>0.375</v>
      </c>
      <c r="C10" s="192">
        <f t="shared" si="2"/>
        <v>0.375</v>
      </c>
      <c r="D10" s="152" t="s">
        <v>149</v>
      </c>
      <c r="E10" s="193">
        <f t="shared" si="3"/>
        <v>0</v>
      </c>
      <c r="F10" s="194">
        <f t="shared" si="4"/>
        <v>0</v>
      </c>
      <c r="G10" s="195">
        <f t="shared" si="5"/>
        <v>4</v>
      </c>
      <c r="H10" s="196">
        <f t="shared" si="6"/>
        <v>0</v>
      </c>
      <c r="I10" s="196">
        <f t="shared" si="7"/>
        <v>0</v>
      </c>
      <c r="J10" s="197">
        <f t="shared" si="8"/>
        <v>683738358</v>
      </c>
      <c r="K10" s="196">
        <f t="shared" si="9"/>
        <v>0</v>
      </c>
      <c r="L10" s="196">
        <f t="shared" si="10"/>
        <v>0</v>
      </c>
      <c r="M10" s="196">
        <f t="shared" si="11"/>
        <v>0</v>
      </c>
      <c r="N10" s="196">
        <f t="shared" si="12"/>
        <v>0</v>
      </c>
      <c r="O10" s="196">
        <f t="shared" si="13"/>
        <v>0</v>
      </c>
      <c r="P10" s="196">
        <f t="shared" si="14"/>
        <v>0</v>
      </c>
      <c r="Q10" s="196">
        <f t="shared" si="15"/>
        <v>0</v>
      </c>
      <c r="R10" s="196">
        <f t="shared" si="16"/>
        <v>0</v>
      </c>
    </row>
    <row r="11" spans="1:18" s="198" customFormat="1" ht="30" customHeight="1">
      <c r="A11" s="190">
        <f t="shared" si="0"/>
        <v>8</v>
      </c>
      <c r="B11" s="191">
        <f t="shared" si="1"/>
        <v>0.37847222222222227</v>
      </c>
      <c r="C11" s="192">
        <f t="shared" si="2"/>
        <v>0.37847222222222227</v>
      </c>
      <c r="D11" s="158" t="s">
        <v>159</v>
      </c>
      <c r="E11" s="193">
        <f t="shared" si="3"/>
        <v>0</v>
      </c>
      <c r="F11" s="194">
        <f t="shared" si="4"/>
        <v>0</v>
      </c>
      <c r="G11" s="195">
        <f t="shared" si="5"/>
        <v>3</v>
      </c>
      <c r="H11" s="196">
        <f t="shared" si="6"/>
        <v>0</v>
      </c>
      <c r="I11" s="196">
        <f t="shared" si="7"/>
        <v>0</v>
      </c>
      <c r="J11" s="197">
        <f t="shared" si="8"/>
        <v>780403289</v>
      </c>
      <c r="K11" s="196">
        <f t="shared" si="9"/>
        <v>0</v>
      </c>
      <c r="L11" s="196">
        <f t="shared" si="10"/>
        <v>0</v>
      </c>
      <c r="M11" s="196">
        <f t="shared" si="11"/>
        <v>0</v>
      </c>
      <c r="N11" s="196">
        <f t="shared" si="12"/>
        <v>0</v>
      </c>
      <c r="O11" s="196">
        <f t="shared" si="13"/>
        <v>0</v>
      </c>
      <c r="P11" s="196">
        <f t="shared" si="14"/>
        <v>0</v>
      </c>
      <c r="Q11" s="196">
        <f t="shared" si="15"/>
        <v>0</v>
      </c>
      <c r="R11" s="196">
        <f t="shared" si="16"/>
        <v>0</v>
      </c>
    </row>
    <row r="12" spans="1:18" s="198" customFormat="1" ht="30" customHeight="1">
      <c r="A12" s="190">
        <f t="shared" si="0"/>
        <v>9</v>
      </c>
      <c r="B12" s="191">
        <f t="shared" si="1"/>
        <v>0.3819444444444445</v>
      </c>
      <c r="C12" s="192">
        <f t="shared" si="2"/>
        <v>0.3819444444444445</v>
      </c>
      <c r="D12" s="152" t="s">
        <v>169</v>
      </c>
      <c r="E12" s="193">
        <f t="shared" si="3"/>
        <v>0</v>
      </c>
      <c r="F12" s="194">
        <f t="shared" si="4"/>
        <v>0</v>
      </c>
      <c r="G12" s="195">
        <f t="shared" si="5"/>
        <v>4</v>
      </c>
      <c r="H12" s="196">
        <f t="shared" si="6"/>
        <v>0</v>
      </c>
      <c r="I12" s="196">
        <f t="shared" si="7"/>
        <v>0</v>
      </c>
      <c r="J12" s="197">
        <f t="shared" si="8"/>
        <v>681341647</v>
      </c>
      <c r="K12" s="196">
        <f t="shared" si="9"/>
        <v>0</v>
      </c>
      <c r="L12" s="196">
        <f t="shared" si="10"/>
        <v>0</v>
      </c>
      <c r="M12" s="196">
        <f t="shared" si="11"/>
        <v>0</v>
      </c>
      <c r="N12" s="196">
        <f t="shared" si="12"/>
        <v>0</v>
      </c>
      <c r="O12" s="196">
        <f t="shared" si="13"/>
        <v>0</v>
      </c>
      <c r="P12" s="196">
        <f t="shared" si="14"/>
        <v>0</v>
      </c>
      <c r="Q12" s="196">
        <f t="shared" si="15"/>
        <v>0</v>
      </c>
      <c r="R12" s="196">
        <f t="shared" si="16"/>
        <v>0</v>
      </c>
    </row>
    <row r="13" spans="1:18" s="198" customFormat="1" ht="30" customHeight="1">
      <c r="A13" s="190">
        <f t="shared" si="0"/>
        <v>10</v>
      </c>
      <c r="B13" s="191">
        <f t="shared" si="1"/>
        <v>0.3854166666666667</v>
      </c>
      <c r="C13" s="192">
        <f t="shared" si="2"/>
        <v>0.3854166666666667</v>
      </c>
      <c r="D13" s="152" t="s">
        <v>178</v>
      </c>
      <c r="E13" s="193">
        <f t="shared" si="3"/>
        <v>0</v>
      </c>
      <c r="F13" s="194">
        <f t="shared" si="4"/>
        <v>0</v>
      </c>
      <c r="G13" s="195">
        <f t="shared" si="5"/>
        <v>3</v>
      </c>
      <c r="H13" s="196">
        <f t="shared" si="6"/>
        <v>0</v>
      </c>
      <c r="I13" s="196">
        <f t="shared" si="7"/>
        <v>0</v>
      </c>
      <c r="J13" s="197">
        <f t="shared" si="8"/>
        <v>681829999</v>
      </c>
      <c r="K13" s="196">
        <f t="shared" si="9"/>
        <v>0</v>
      </c>
      <c r="L13" s="196">
        <f t="shared" si="10"/>
        <v>0</v>
      </c>
      <c r="M13" s="196">
        <f t="shared" si="11"/>
        <v>0</v>
      </c>
      <c r="N13" s="196">
        <f t="shared" si="12"/>
        <v>0</v>
      </c>
      <c r="O13" s="196">
        <f t="shared" si="13"/>
        <v>0</v>
      </c>
      <c r="P13" s="196">
        <f t="shared" si="14"/>
        <v>0</v>
      </c>
      <c r="Q13" s="196">
        <f t="shared" si="15"/>
        <v>0</v>
      </c>
      <c r="R13" s="196">
        <f t="shared" si="16"/>
        <v>0</v>
      </c>
    </row>
    <row r="14" spans="1:18" s="198" customFormat="1" ht="30" customHeight="1">
      <c r="A14" s="190">
        <f t="shared" si="0"/>
        <v>11</v>
      </c>
      <c r="B14" s="191">
        <f t="shared" si="1"/>
        <v>0.3888888888888889</v>
      </c>
      <c r="C14" s="192">
        <f t="shared" si="2"/>
        <v>0.3888888888888889</v>
      </c>
      <c r="D14" s="152" t="s">
        <v>187</v>
      </c>
      <c r="E14" s="193">
        <f t="shared" si="3"/>
        <v>0</v>
      </c>
      <c r="F14" s="194">
        <f t="shared" si="4"/>
        <v>0</v>
      </c>
      <c r="G14" s="195">
        <f t="shared" si="5"/>
        <v>4</v>
      </c>
      <c r="H14" s="196">
        <f t="shared" si="6"/>
        <v>0</v>
      </c>
      <c r="I14" s="196">
        <f t="shared" si="7"/>
        <v>0</v>
      </c>
      <c r="J14" s="197">
        <f t="shared" si="8"/>
        <v>613342247</v>
      </c>
      <c r="K14" s="196">
        <f t="shared" si="9"/>
        <v>0</v>
      </c>
      <c r="L14" s="196">
        <f t="shared" si="10"/>
        <v>0</v>
      </c>
      <c r="M14" s="196">
        <f t="shared" si="11"/>
        <v>0</v>
      </c>
      <c r="N14" s="196">
        <f t="shared" si="12"/>
        <v>0</v>
      </c>
      <c r="O14" s="196">
        <f t="shared" si="13"/>
        <v>0</v>
      </c>
      <c r="P14" s="196">
        <f t="shared" si="14"/>
        <v>0</v>
      </c>
      <c r="Q14" s="196">
        <f t="shared" si="15"/>
        <v>0</v>
      </c>
      <c r="R14" s="196">
        <f t="shared" si="16"/>
        <v>0</v>
      </c>
    </row>
    <row r="15" spans="1:18" s="198" customFormat="1" ht="30" customHeight="1">
      <c r="A15" s="190">
        <f t="shared" si="0"/>
        <v>12</v>
      </c>
      <c r="B15" s="191">
        <f t="shared" si="1"/>
        <v>0.39236111111111116</v>
      </c>
      <c r="C15" s="192">
        <f t="shared" si="2"/>
        <v>0.39236111111111116</v>
      </c>
      <c r="D15" s="152" t="s">
        <v>197</v>
      </c>
      <c r="E15" s="193">
        <f t="shared" si="3"/>
        <v>0</v>
      </c>
      <c r="F15" s="194">
        <f t="shared" si="4"/>
        <v>0</v>
      </c>
      <c r="G15" s="195">
        <f t="shared" si="5"/>
        <v>3</v>
      </c>
      <c r="H15" s="196">
        <f t="shared" si="6"/>
        <v>0</v>
      </c>
      <c r="I15" s="196">
        <f t="shared" si="7"/>
        <v>0</v>
      </c>
      <c r="J15" s="197">
        <f t="shared" si="8"/>
        <v>624133699</v>
      </c>
      <c r="K15" s="196">
        <f t="shared" si="9"/>
        <v>0</v>
      </c>
      <c r="L15" s="196">
        <f t="shared" si="10"/>
        <v>0</v>
      </c>
      <c r="M15" s="196">
        <f t="shared" si="11"/>
        <v>0</v>
      </c>
      <c r="N15" s="196">
        <f t="shared" si="12"/>
        <v>0</v>
      </c>
      <c r="O15" s="196">
        <f t="shared" si="13"/>
        <v>0</v>
      </c>
      <c r="P15" s="196">
        <f t="shared" si="14"/>
        <v>0</v>
      </c>
      <c r="Q15" s="196">
        <f t="shared" si="15"/>
        <v>0</v>
      </c>
      <c r="R15" s="196">
        <f t="shared" si="16"/>
        <v>0</v>
      </c>
    </row>
    <row r="16" spans="1:18" s="198" customFormat="1" ht="30" customHeight="1">
      <c r="A16" s="190">
        <f t="shared" si="0"/>
        <v>13</v>
      </c>
      <c r="B16" s="191">
        <f t="shared" si="1"/>
        <v>0.39583333333333337</v>
      </c>
      <c r="C16" s="192">
        <f t="shared" si="2"/>
        <v>0.39583333333333337</v>
      </c>
      <c r="D16" s="152" t="s">
        <v>205</v>
      </c>
      <c r="E16" s="193">
        <f t="shared" si="3"/>
        <v>0</v>
      </c>
      <c r="F16" s="194">
        <f t="shared" si="4"/>
        <v>0</v>
      </c>
      <c r="G16" s="195">
        <f t="shared" si="5"/>
        <v>4</v>
      </c>
      <c r="H16" s="196">
        <f t="shared" si="6"/>
        <v>0</v>
      </c>
      <c r="I16" s="196">
        <f t="shared" si="7"/>
        <v>0</v>
      </c>
      <c r="J16" s="197">
        <f t="shared" si="8"/>
        <v>686363580</v>
      </c>
      <c r="K16" s="196">
        <f t="shared" si="9"/>
        <v>0</v>
      </c>
      <c r="L16" s="196">
        <f t="shared" si="10"/>
        <v>0</v>
      </c>
      <c r="M16" s="196">
        <f t="shared" si="11"/>
        <v>0</v>
      </c>
      <c r="N16" s="196">
        <f t="shared" si="12"/>
        <v>0</v>
      </c>
      <c r="O16" s="196">
        <f t="shared" si="13"/>
        <v>0</v>
      </c>
      <c r="P16" s="196">
        <f t="shared" si="14"/>
        <v>0</v>
      </c>
      <c r="Q16" s="196">
        <f t="shared" si="15"/>
        <v>0</v>
      </c>
      <c r="R16" s="196">
        <f t="shared" si="16"/>
        <v>0</v>
      </c>
    </row>
    <row r="17" spans="1:18" s="198" customFormat="1" ht="30" customHeight="1">
      <c r="A17" s="190">
        <f t="shared" si="0"/>
        <v>14</v>
      </c>
      <c r="B17" s="191">
        <f t="shared" si="1"/>
        <v>0.3993055555555556</v>
      </c>
      <c r="C17" s="192">
        <f t="shared" si="2"/>
        <v>0.3993055555555556</v>
      </c>
      <c r="D17" s="152" t="s">
        <v>215</v>
      </c>
      <c r="E17" s="193">
        <f t="shared" si="3"/>
        <v>0</v>
      </c>
      <c r="F17" s="194">
        <f t="shared" si="4"/>
        <v>0</v>
      </c>
      <c r="G17" s="195">
        <f t="shared" si="5"/>
        <v>4</v>
      </c>
      <c r="H17" s="196">
        <f t="shared" si="6"/>
        <v>0</v>
      </c>
      <c r="I17" s="196">
        <f t="shared" si="7"/>
        <v>0</v>
      </c>
      <c r="J17" s="197">
        <f t="shared" si="8"/>
        <v>622312000</v>
      </c>
      <c r="K17" s="196">
        <f t="shared" si="9"/>
        <v>0</v>
      </c>
      <c r="L17" s="196">
        <f t="shared" si="10"/>
        <v>0</v>
      </c>
      <c r="M17" s="196">
        <f t="shared" si="11"/>
        <v>0</v>
      </c>
      <c r="N17" s="196">
        <f t="shared" si="12"/>
        <v>0</v>
      </c>
      <c r="O17" s="196">
        <f t="shared" si="13"/>
        <v>0</v>
      </c>
      <c r="P17" s="196">
        <f t="shared" si="14"/>
        <v>0</v>
      </c>
      <c r="Q17" s="196">
        <f t="shared" si="15"/>
        <v>0</v>
      </c>
      <c r="R17" s="196">
        <f t="shared" si="16"/>
        <v>0</v>
      </c>
    </row>
    <row r="18" spans="1:18" s="198" customFormat="1" ht="30" customHeight="1">
      <c r="A18" s="190">
        <f t="shared" si="0"/>
        <v>0</v>
      </c>
      <c r="B18" s="191">
        <f t="shared" si="1"/>
        <v>0.4027777777777778</v>
      </c>
      <c r="C18" s="192">
        <f t="shared" si="2"/>
        <v>0</v>
      </c>
      <c r="D18" s="199"/>
      <c r="E18" s="193">
        <f t="shared" si="3"/>
        <v>0</v>
      </c>
      <c r="F18" s="194">
        <f t="shared" si="4"/>
        <v>0</v>
      </c>
      <c r="G18" s="195">
        <f t="shared" si="5"/>
        <v>0</v>
      </c>
      <c r="H18" s="196">
        <f t="shared" si="6"/>
        <v>0</v>
      </c>
      <c r="I18" s="196">
        <f t="shared" si="7"/>
        <v>0</v>
      </c>
      <c r="J18" s="197">
        <f t="shared" si="8"/>
        <v>0</v>
      </c>
      <c r="K18" s="196">
        <f t="shared" si="9"/>
        <v>0</v>
      </c>
      <c r="L18" s="196">
        <f t="shared" si="10"/>
        <v>0</v>
      </c>
      <c r="M18" s="196">
        <f t="shared" si="11"/>
        <v>0</v>
      </c>
      <c r="N18" s="196">
        <f t="shared" si="12"/>
        <v>0</v>
      </c>
      <c r="O18" s="196">
        <f t="shared" si="13"/>
        <v>0</v>
      </c>
      <c r="P18" s="196">
        <f t="shared" si="14"/>
        <v>0</v>
      </c>
      <c r="Q18" s="196">
        <f t="shared" si="15"/>
        <v>0</v>
      </c>
      <c r="R18" s="196">
        <f t="shared" si="16"/>
        <v>0</v>
      </c>
    </row>
    <row r="19" spans="1:18" s="198" customFormat="1" ht="30" customHeight="1">
      <c r="A19" s="190">
        <f t="shared" si="0"/>
        <v>0</v>
      </c>
      <c r="B19" s="191">
        <f t="shared" si="1"/>
        <v>0.40625</v>
      </c>
      <c r="C19" s="192">
        <f t="shared" si="2"/>
        <v>0</v>
      </c>
      <c r="D19" s="199"/>
      <c r="E19" s="193">
        <f t="shared" si="3"/>
        <v>0</v>
      </c>
      <c r="F19" s="194">
        <f t="shared" si="4"/>
        <v>0</v>
      </c>
      <c r="G19" s="195">
        <f t="shared" si="5"/>
        <v>0</v>
      </c>
      <c r="H19" s="196">
        <f t="shared" si="6"/>
        <v>0</v>
      </c>
      <c r="I19" s="196">
        <f t="shared" si="7"/>
        <v>0</v>
      </c>
      <c r="J19" s="197">
        <f t="shared" si="8"/>
        <v>0</v>
      </c>
      <c r="K19" s="196">
        <f t="shared" si="9"/>
        <v>0</v>
      </c>
      <c r="L19" s="196">
        <f t="shared" si="10"/>
        <v>0</v>
      </c>
      <c r="M19" s="196">
        <f t="shared" si="11"/>
        <v>0</v>
      </c>
      <c r="N19" s="196">
        <f t="shared" si="12"/>
        <v>0</v>
      </c>
      <c r="O19" s="196">
        <f t="shared" si="13"/>
        <v>0</v>
      </c>
      <c r="P19" s="196">
        <f t="shared" si="14"/>
        <v>0</v>
      </c>
      <c r="Q19" s="196">
        <f t="shared" si="15"/>
        <v>0</v>
      </c>
      <c r="R19" s="196">
        <f t="shared" si="16"/>
        <v>0</v>
      </c>
    </row>
    <row r="20" spans="1:18" s="198" customFormat="1" ht="30" customHeight="1">
      <c r="A20" s="190">
        <f t="shared" si="0"/>
        <v>0</v>
      </c>
      <c r="B20" s="191">
        <f t="shared" si="1"/>
        <v>0.4097222222222222</v>
      </c>
      <c r="C20" s="192">
        <f t="shared" si="2"/>
        <v>0</v>
      </c>
      <c r="D20" s="199"/>
      <c r="E20" s="193">
        <f t="shared" si="3"/>
        <v>0</v>
      </c>
      <c r="F20" s="194">
        <f t="shared" si="4"/>
        <v>0</v>
      </c>
      <c r="G20" s="195">
        <f t="shared" si="5"/>
        <v>0</v>
      </c>
      <c r="H20" s="196">
        <f t="shared" si="6"/>
        <v>0</v>
      </c>
      <c r="I20" s="196">
        <f t="shared" si="7"/>
        <v>0</v>
      </c>
      <c r="J20" s="197">
        <f t="shared" si="8"/>
        <v>0</v>
      </c>
      <c r="K20" s="196">
        <f t="shared" si="9"/>
        <v>0</v>
      </c>
      <c r="L20" s="196">
        <f t="shared" si="10"/>
        <v>0</v>
      </c>
      <c r="M20" s="196">
        <f t="shared" si="11"/>
        <v>0</v>
      </c>
      <c r="N20" s="196">
        <f t="shared" si="12"/>
        <v>0</v>
      </c>
      <c r="O20" s="196">
        <f t="shared" si="13"/>
        <v>0</v>
      </c>
      <c r="P20" s="196">
        <f t="shared" si="14"/>
        <v>0</v>
      </c>
      <c r="Q20" s="196">
        <f t="shared" si="15"/>
        <v>0</v>
      </c>
      <c r="R20" s="196">
        <f t="shared" si="16"/>
        <v>0</v>
      </c>
    </row>
    <row r="21" spans="1:18" s="198" customFormat="1" ht="30" customHeight="1">
      <c r="A21" s="190">
        <f t="shared" si="0"/>
        <v>0</v>
      </c>
      <c r="B21" s="191">
        <f t="shared" si="1"/>
        <v>0.4131944444444445</v>
      </c>
      <c r="C21" s="192">
        <f t="shared" si="2"/>
        <v>0</v>
      </c>
      <c r="D21" s="199"/>
      <c r="E21" s="193">
        <f t="shared" si="3"/>
        <v>0</v>
      </c>
      <c r="F21" s="194">
        <f t="shared" si="4"/>
        <v>0</v>
      </c>
      <c r="G21" s="195">
        <f t="shared" si="5"/>
        <v>0</v>
      </c>
      <c r="H21" s="196">
        <f t="shared" si="6"/>
        <v>0</v>
      </c>
      <c r="I21" s="196">
        <f t="shared" si="7"/>
        <v>0</v>
      </c>
      <c r="J21" s="197">
        <f t="shared" si="8"/>
        <v>0</v>
      </c>
      <c r="K21" s="196">
        <f t="shared" si="9"/>
        <v>0</v>
      </c>
      <c r="L21" s="196">
        <f t="shared" si="10"/>
        <v>0</v>
      </c>
      <c r="M21" s="196">
        <f t="shared" si="11"/>
        <v>0</v>
      </c>
      <c r="N21" s="196">
        <f t="shared" si="12"/>
        <v>0</v>
      </c>
      <c r="O21" s="196">
        <f t="shared" si="13"/>
        <v>0</v>
      </c>
      <c r="P21" s="196">
        <f t="shared" si="14"/>
        <v>0</v>
      </c>
      <c r="Q21" s="196">
        <f t="shared" si="15"/>
        <v>0</v>
      </c>
      <c r="R21" s="196">
        <f t="shared" si="16"/>
        <v>0</v>
      </c>
    </row>
    <row r="22" spans="1:18" s="198" customFormat="1" ht="30" customHeight="1">
      <c r="A22" s="190">
        <f t="shared" si="0"/>
        <v>0</v>
      </c>
      <c r="B22" s="191">
        <f t="shared" si="1"/>
        <v>0.4166666666666667</v>
      </c>
      <c r="C22" s="192">
        <f t="shared" si="2"/>
        <v>0</v>
      </c>
      <c r="D22" s="199"/>
      <c r="E22" s="193">
        <f t="shared" si="3"/>
        <v>0</v>
      </c>
      <c r="F22" s="194">
        <f t="shared" si="4"/>
        <v>0</v>
      </c>
      <c r="G22" s="195">
        <f t="shared" si="5"/>
        <v>0</v>
      </c>
      <c r="H22" s="196">
        <f t="shared" si="6"/>
        <v>0</v>
      </c>
      <c r="I22" s="196">
        <f t="shared" si="7"/>
        <v>0</v>
      </c>
      <c r="J22" s="197">
        <f t="shared" si="8"/>
        <v>0</v>
      </c>
      <c r="K22" s="196">
        <f t="shared" si="9"/>
        <v>0</v>
      </c>
      <c r="L22" s="196">
        <f t="shared" si="10"/>
        <v>0</v>
      </c>
      <c r="M22" s="196">
        <f t="shared" si="11"/>
        <v>0</v>
      </c>
      <c r="N22" s="196">
        <f t="shared" si="12"/>
        <v>0</v>
      </c>
      <c r="O22" s="196">
        <f t="shared" si="13"/>
        <v>0</v>
      </c>
      <c r="P22" s="196">
        <f t="shared" si="14"/>
        <v>0</v>
      </c>
      <c r="Q22" s="196">
        <f t="shared" si="15"/>
        <v>0</v>
      </c>
      <c r="R22" s="196">
        <f t="shared" si="16"/>
        <v>0</v>
      </c>
    </row>
    <row r="23" spans="1:18" s="198" customFormat="1" ht="30" customHeight="1">
      <c r="A23" s="190">
        <f t="shared" si="0"/>
        <v>0</v>
      </c>
      <c r="B23" s="191">
        <f t="shared" si="1"/>
        <v>0.4201388888888889</v>
      </c>
      <c r="C23" s="192">
        <f t="shared" si="2"/>
        <v>0</v>
      </c>
      <c r="D23" s="199"/>
      <c r="E23" s="193">
        <f t="shared" si="3"/>
        <v>0</v>
      </c>
      <c r="F23" s="194">
        <f t="shared" si="4"/>
        <v>0</v>
      </c>
      <c r="G23" s="195">
        <f t="shared" si="5"/>
        <v>0</v>
      </c>
      <c r="H23" s="196">
        <f t="shared" si="6"/>
        <v>0</v>
      </c>
      <c r="I23" s="196">
        <f t="shared" si="7"/>
        <v>0</v>
      </c>
      <c r="J23" s="197">
        <f t="shared" si="8"/>
        <v>0</v>
      </c>
      <c r="K23" s="196">
        <f t="shared" si="9"/>
        <v>0</v>
      </c>
      <c r="L23" s="196">
        <f t="shared" si="10"/>
        <v>0</v>
      </c>
      <c r="M23" s="196">
        <f t="shared" si="11"/>
        <v>0</v>
      </c>
      <c r="N23" s="196">
        <f t="shared" si="12"/>
        <v>0</v>
      </c>
      <c r="O23" s="196">
        <f t="shared" si="13"/>
        <v>0</v>
      </c>
      <c r="P23" s="196">
        <f t="shared" si="14"/>
        <v>0</v>
      </c>
      <c r="Q23" s="196">
        <f t="shared" si="15"/>
        <v>0</v>
      </c>
      <c r="R23" s="196">
        <f t="shared" si="16"/>
        <v>0</v>
      </c>
    </row>
    <row r="24" spans="1:18" s="198" customFormat="1" ht="30" customHeight="1">
      <c r="A24" s="190">
        <f t="shared" si="0"/>
        <v>0</v>
      </c>
      <c r="B24" s="191">
        <f t="shared" si="1"/>
        <v>0.42361111111111116</v>
      </c>
      <c r="C24" s="192">
        <f t="shared" si="2"/>
        <v>0</v>
      </c>
      <c r="D24" s="199"/>
      <c r="E24" s="193">
        <f t="shared" si="3"/>
        <v>0</v>
      </c>
      <c r="F24" s="194">
        <f t="shared" si="4"/>
        <v>0</v>
      </c>
      <c r="G24" s="195">
        <f t="shared" si="5"/>
        <v>0</v>
      </c>
      <c r="H24" s="196">
        <f t="shared" si="6"/>
        <v>0</v>
      </c>
      <c r="I24" s="196">
        <f t="shared" si="7"/>
        <v>0</v>
      </c>
      <c r="J24" s="197">
        <f t="shared" si="8"/>
        <v>0</v>
      </c>
      <c r="K24" s="196">
        <f t="shared" si="9"/>
        <v>0</v>
      </c>
      <c r="L24" s="196">
        <f t="shared" si="10"/>
        <v>0</v>
      </c>
      <c r="M24" s="196">
        <f t="shared" si="11"/>
        <v>0</v>
      </c>
      <c r="N24" s="196">
        <f t="shared" si="12"/>
        <v>0</v>
      </c>
      <c r="O24" s="196">
        <f t="shared" si="13"/>
        <v>0</v>
      </c>
      <c r="P24" s="196">
        <f t="shared" si="14"/>
        <v>0</v>
      </c>
      <c r="Q24" s="196">
        <f t="shared" si="15"/>
        <v>0</v>
      </c>
      <c r="R24" s="196">
        <f t="shared" si="16"/>
        <v>0</v>
      </c>
    </row>
    <row r="25" spans="1:18" s="198" customFormat="1" ht="30" customHeight="1">
      <c r="A25" s="190">
        <f t="shared" si="0"/>
        <v>0</v>
      </c>
      <c r="B25" s="191">
        <f t="shared" si="1"/>
        <v>0.42708333333333337</v>
      </c>
      <c r="C25" s="192">
        <f t="shared" si="2"/>
        <v>0</v>
      </c>
      <c r="D25" s="199"/>
      <c r="E25" s="193">
        <f t="shared" si="3"/>
        <v>0</v>
      </c>
      <c r="F25" s="194">
        <f t="shared" si="4"/>
        <v>0</v>
      </c>
      <c r="G25" s="195">
        <f t="shared" si="5"/>
        <v>0</v>
      </c>
      <c r="H25" s="196">
        <f t="shared" si="6"/>
        <v>0</v>
      </c>
      <c r="I25" s="196">
        <f t="shared" si="7"/>
        <v>0</v>
      </c>
      <c r="J25" s="197">
        <f t="shared" si="8"/>
        <v>0</v>
      </c>
      <c r="K25" s="196">
        <f t="shared" si="9"/>
        <v>0</v>
      </c>
      <c r="L25" s="196">
        <f t="shared" si="10"/>
        <v>0</v>
      </c>
      <c r="M25" s="196">
        <f t="shared" si="11"/>
        <v>0</v>
      </c>
      <c r="N25" s="196">
        <f t="shared" si="12"/>
        <v>0</v>
      </c>
      <c r="O25" s="196">
        <f t="shared" si="13"/>
        <v>0</v>
      </c>
      <c r="P25" s="196">
        <f t="shared" si="14"/>
        <v>0</v>
      </c>
      <c r="Q25" s="196">
        <f t="shared" si="15"/>
        <v>0</v>
      </c>
      <c r="R25" s="196">
        <f t="shared" si="16"/>
        <v>0</v>
      </c>
    </row>
    <row r="26" spans="1:18" s="198" customFormat="1" ht="30" customHeight="1">
      <c r="A26" s="190">
        <f t="shared" si="0"/>
        <v>0</v>
      </c>
      <c r="B26" s="191">
        <f t="shared" si="1"/>
        <v>0.4305555555555556</v>
      </c>
      <c r="C26" s="192">
        <f t="shared" si="2"/>
        <v>0</v>
      </c>
      <c r="D26" s="199"/>
      <c r="E26" s="193">
        <f t="shared" si="3"/>
        <v>0</v>
      </c>
      <c r="F26" s="194">
        <f t="shared" si="4"/>
        <v>0</v>
      </c>
      <c r="G26" s="195">
        <f t="shared" si="5"/>
        <v>0</v>
      </c>
      <c r="H26" s="196">
        <f t="shared" si="6"/>
        <v>0</v>
      </c>
      <c r="I26" s="196">
        <f t="shared" si="7"/>
        <v>0</v>
      </c>
      <c r="J26" s="197">
        <f t="shared" si="8"/>
        <v>0</v>
      </c>
      <c r="K26" s="196">
        <f t="shared" si="9"/>
        <v>0</v>
      </c>
      <c r="L26" s="196">
        <f t="shared" si="10"/>
        <v>0</v>
      </c>
      <c r="M26" s="196">
        <f t="shared" si="11"/>
        <v>0</v>
      </c>
      <c r="N26" s="196">
        <f t="shared" si="12"/>
        <v>0</v>
      </c>
      <c r="O26" s="196">
        <f t="shared" si="13"/>
        <v>0</v>
      </c>
      <c r="P26" s="196">
        <f t="shared" si="14"/>
        <v>0</v>
      </c>
      <c r="Q26" s="196">
        <f t="shared" si="15"/>
        <v>0</v>
      </c>
      <c r="R26" s="196">
        <f t="shared" si="16"/>
        <v>0</v>
      </c>
    </row>
    <row r="27" spans="1:18" s="198" customFormat="1" ht="30" customHeight="1">
      <c r="A27" s="190">
        <f t="shared" si="0"/>
        <v>0</v>
      </c>
      <c r="B27" s="191">
        <f t="shared" si="1"/>
        <v>0.4340277777777778</v>
      </c>
      <c r="C27" s="192">
        <f t="shared" si="2"/>
        <v>0</v>
      </c>
      <c r="D27" s="199"/>
      <c r="E27" s="193">
        <f t="shared" si="3"/>
        <v>0</v>
      </c>
      <c r="F27" s="194">
        <f t="shared" si="4"/>
        <v>0</v>
      </c>
      <c r="G27" s="195">
        <f t="shared" si="5"/>
        <v>0</v>
      </c>
      <c r="H27" s="196">
        <f t="shared" si="6"/>
        <v>0</v>
      </c>
      <c r="I27" s="196">
        <f t="shared" si="7"/>
        <v>0</v>
      </c>
      <c r="J27" s="197">
        <f t="shared" si="8"/>
        <v>0</v>
      </c>
      <c r="K27" s="196">
        <f t="shared" si="9"/>
        <v>0</v>
      </c>
      <c r="L27" s="196">
        <f t="shared" si="10"/>
        <v>0</v>
      </c>
      <c r="M27" s="196">
        <f t="shared" si="11"/>
        <v>0</v>
      </c>
      <c r="N27" s="196">
        <f t="shared" si="12"/>
        <v>0</v>
      </c>
      <c r="O27" s="196">
        <f t="shared" si="13"/>
        <v>0</v>
      </c>
      <c r="P27" s="196">
        <f t="shared" si="14"/>
        <v>0</v>
      </c>
      <c r="Q27" s="196">
        <f t="shared" si="15"/>
        <v>0</v>
      </c>
      <c r="R27" s="196">
        <f t="shared" si="16"/>
        <v>0</v>
      </c>
    </row>
    <row r="28" spans="1:18" s="198" customFormat="1" ht="30" customHeight="1">
      <c r="A28" s="190">
        <f t="shared" si="0"/>
        <v>0</v>
      </c>
      <c r="B28" s="191">
        <f t="shared" si="1"/>
        <v>0.4375</v>
      </c>
      <c r="C28" s="192">
        <f t="shared" si="2"/>
        <v>0</v>
      </c>
      <c r="D28" s="199"/>
      <c r="E28" s="193">
        <f t="shared" si="3"/>
        <v>0</v>
      </c>
      <c r="F28" s="194">
        <f t="shared" si="4"/>
        <v>0</v>
      </c>
      <c r="G28" s="195">
        <f t="shared" si="5"/>
        <v>0</v>
      </c>
      <c r="H28" s="196">
        <f t="shared" si="6"/>
        <v>0</v>
      </c>
      <c r="I28" s="196">
        <f t="shared" si="7"/>
        <v>0</v>
      </c>
      <c r="J28" s="197">
        <f t="shared" si="8"/>
        <v>0</v>
      </c>
      <c r="K28" s="196">
        <f t="shared" si="9"/>
        <v>0</v>
      </c>
      <c r="L28" s="196">
        <f t="shared" si="10"/>
        <v>0</v>
      </c>
      <c r="M28" s="196">
        <f t="shared" si="11"/>
        <v>0</v>
      </c>
      <c r="N28" s="196">
        <f t="shared" si="12"/>
        <v>0</v>
      </c>
      <c r="O28" s="196">
        <f t="shared" si="13"/>
        <v>0</v>
      </c>
      <c r="P28" s="196">
        <f t="shared" si="14"/>
        <v>0</v>
      </c>
      <c r="Q28" s="196">
        <f t="shared" si="15"/>
        <v>0</v>
      </c>
      <c r="R28" s="196">
        <f t="shared" si="16"/>
        <v>0</v>
      </c>
    </row>
    <row r="29" spans="1:18" s="198" customFormat="1" ht="30" customHeight="1">
      <c r="A29" s="190">
        <f t="shared" si="0"/>
        <v>0</v>
      </c>
      <c r="B29" s="191">
        <f t="shared" si="1"/>
        <v>0.4409722222222222</v>
      </c>
      <c r="C29" s="192">
        <f t="shared" si="2"/>
        <v>0</v>
      </c>
      <c r="D29" s="199"/>
      <c r="E29" s="193">
        <f t="shared" si="3"/>
        <v>0</v>
      </c>
      <c r="F29" s="194">
        <f t="shared" si="4"/>
        <v>0</v>
      </c>
      <c r="G29" s="195">
        <f t="shared" si="5"/>
        <v>0</v>
      </c>
      <c r="H29" s="196">
        <f t="shared" si="6"/>
        <v>0</v>
      </c>
      <c r="I29" s="196">
        <f t="shared" si="7"/>
        <v>0</v>
      </c>
      <c r="J29" s="197">
        <f t="shared" si="8"/>
        <v>0</v>
      </c>
      <c r="K29" s="196">
        <f t="shared" si="9"/>
        <v>0</v>
      </c>
      <c r="L29" s="196">
        <f t="shared" si="10"/>
        <v>0</v>
      </c>
      <c r="M29" s="196">
        <f t="shared" si="11"/>
        <v>0</v>
      </c>
      <c r="N29" s="196">
        <f t="shared" si="12"/>
        <v>0</v>
      </c>
      <c r="O29" s="196">
        <f t="shared" si="13"/>
        <v>0</v>
      </c>
      <c r="P29" s="196">
        <f t="shared" si="14"/>
        <v>0</v>
      </c>
      <c r="Q29" s="196">
        <f t="shared" si="15"/>
        <v>0</v>
      </c>
      <c r="R29" s="196">
        <f t="shared" si="16"/>
        <v>0</v>
      </c>
    </row>
    <row r="30" spans="1:18" s="198" customFormat="1" ht="30" customHeight="1">
      <c r="A30" s="190">
        <f t="shared" si="0"/>
        <v>0</v>
      </c>
      <c r="B30" s="191">
        <f t="shared" si="1"/>
        <v>0.4444444444444445</v>
      </c>
      <c r="C30" s="192">
        <f t="shared" si="2"/>
        <v>0</v>
      </c>
      <c r="D30" s="199"/>
      <c r="E30" s="193">
        <f t="shared" si="3"/>
        <v>0</v>
      </c>
      <c r="F30" s="194">
        <f t="shared" si="4"/>
        <v>0</v>
      </c>
      <c r="G30" s="195">
        <f t="shared" si="5"/>
        <v>0</v>
      </c>
      <c r="H30" s="196">
        <f t="shared" si="6"/>
        <v>0</v>
      </c>
      <c r="I30" s="196">
        <f t="shared" si="7"/>
        <v>0</v>
      </c>
      <c r="J30" s="197">
        <f t="shared" si="8"/>
        <v>0</v>
      </c>
      <c r="K30" s="196">
        <f t="shared" si="9"/>
        <v>0</v>
      </c>
      <c r="L30" s="196">
        <f t="shared" si="10"/>
        <v>0</v>
      </c>
      <c r="M30" s="196">
        <f t="shared" si="11"/>
        <v>0</v>
      </c>
      <c r="N30" s="196">
        <f t="shared" si="12"/>
        <v>0</v>
      </c>
      <c r="O30" s="196">
        <f t="shared" si="13"/>
        <v>0</v>
      </c>
      <c r="P30" s="196">
        <f t="shared" si="14"/>
        <v>0</v>
      </c>
      <c r="Q30" s="196">
        <f t="shared" si="15"/>
        <v>0</v>
      </c>
      <c r="R30" s="196">
        <f t="shared" si="16"/>
        <v>0</v>
      </c>
    </row>
    <row r="31" spans="1:18" s="198" customFormat="1" ht="30" customHeight="1">
      <c r="A31" s="190">
        <f t="shared" si="0"/>
        <v>0</v>
      </c>
      <c r="B31" s="191">
        <f t="shared" si="1"/>
        <v>0.4479166666666667</v>
      </c>
      <c r="C31" s="192">
        <f t="shared" si="2"/>
        <v>0</v>
      </c>
      <c r="D31" s="199"/>
      <c r="E31" s="193">
        <f t="shared" si="3"/>
        <v>0</v>
      </c>
      <c r="F31" s="194">
        <f t="shared" si="4"/>
        <v>0</v>
      </c>
      <c r="G31" s="195">
        <f t="shared" si="5"/>
        <v>0</v>
      </c>
      <c r="H31" s="196">
        <f t="shared" si="6"/>
        <v>0</v>
      </c>
      <c r="I31" s="196">
        <f t="shared" si="7"/>
        <v>0</v>
      </c>
      <c r="J31" s="197">
        <f t="shared" si="8"/>
        <v>0</v>
      </c>
      <c r="K31" s="196">
        <f t="shared" si="9"/>
        <v>0</v>
      </c>
      <c r="L31" s="196">
        <f t="shared" si="10"/>
        <v>0</v>
      </c>
      <c r="M31" s="196">
        <f t="shared" si="11"/>
        <v>0</v>
      </c>
      <c r="N31" s="196">
        <f t="shared" si="12"/>
        <v>0</v>
      </c>
      <c r="O31" s="196">
        <f t="shared" si="13"/>
        <v>0</v>
      </c>
      <c r="P31" s="196">
        <f t="shared" si="14"/>
        <v>0</v>
      </c>
      <c r="Q31" s="196">
        <f t="shared" si="15"/>
        <v>0</v>
      </c>
      <c r="R31" s="196">
        <f t="shared" si="16"/>
        <v>0</v>
      </c>
    </row>
    <row r="32" spans="1:18" s="198" customFormat="1" ht="30" customHeight="1">
      <c r="A32" s="190">
        <f t="shared" si="0"/>
        <v>0</v>
      </c>
      <c r="B32" s="191">
        <f t="shared" si="1"/>
        <v>0.4513888888888889</v>
      </c>
      <c r="C32" s="192">
        <f t="shared" si="2"/>
        <v>0</v>
      </c>
      <c r="D32" s="199"/>
      <c r="E32" s="193">
        <f t="shared" si="3"/>
        <v>0</v>
      </c>
      <c r="F32" s="194">
        <f t="shared" si="4"/>
        <v>0</v>
      </c>
      <c r="G32" s="195">
        <f t="shared" si="5"/>
        <v>0</v>
      </c>
      <c r="H32" s="196">
        <f t="shared" si="6"/>
        <v>0</v>
      </c>
      <c r="I32" s="196">
        <f t="shared" si="7"/>
        <v>0</v>
      </c>
      <c r="J32" s="197">
        <f t="shared" si="8"/>
        <v>0</v>
      </c>
      <c r="K32" s="196">
        <f t="shared" si="9"/>
        <v>0</v>
      </c>
      <c r="L32" s="196">
        <f t="shared" si="10"/>
        <v>0</v>
      </c>
      <c r="M32" s="196">
        <f t="shared" si="11"/>
        <v>0</v>
      </c>
      <c r="N32" s="196">
        <f t="shared" si="12"/>
        <v>0</v>
      </c>
      <c r="O32" s="196">
        <f t="shared" si="13"/>
        <v>0</v>
      </c>
      <c r="P32" s="196">
        <f t="shared" si="14"/>
        <v>0</v>
      </c>
      <c r="Q32" s="196">
        <f t="shared" si="15"/>
        <v>0</v>
      </c>
      <c r="R32" s="196">
        <f t="shared" si="16"/>
        <v>0</v>
      </c>
    </row>
    <row r="33" spans="1:18" s="198" customFormat="1" ht="30" customHeight="1">
      <c r="A33" s="190">
        <f t="shared" si="0"/>
        <v>0</v>
      </c>
      <c r="B33" s="191">
        <f t="shared" si="1"/>
        <v>0.45486111111111116</v>
      </c>
      <c r="C33" s="192">
        <f t="shared" si="2"/>
        <v>0</v>
      </c>
      <c r="D33" s="199"/>
      <c r="E33" s="193">
        <f t="shared" si="3"/>
        <v>0</v>
      </c>
      <c r="F33" s="194">
        <f t="shared" si="4"/>
        <v>0</v>
      </c>
      <c r="G33" s="195">
        <f t="shared" si="5"/>
        <v>0</v>
      </c>
      <c r="H33" s="196">
        <f t="shared" si="6"/>
        <v>0</v>
      </c>
      <c r="I33" s="196">
        <f t="shared" si="7"/>
        <v>0</v>
      </c>
      <c r="J33" s="197">
        <f t="shared" si="8"/>
        <v>0</v>
      </c>
      <c r="K33" s="196">
        <f t="shared" si="9"/>
        <v>0</v>
      </c>
      <c r="L33" s="196">
        <f t="shared" si="10"/>
        <v>0</v>
      </c>
      <c r="M33" s="196">
        <f t="shared" si="11"/>
        <v>0</v>
      </c>
      <c r="N33" s="196">
        <f t="shared" si="12"/>
        <v>0</v>
      </c>
      <c r="O33" s="196">
        <f t="shared" si="13"/>
        <v>0</v>
      </c>
      <c r="P33" s="196">
        <f t="shared" si="14"/>
        <v>0</v>
      </c>
      <c r="Q33" s="196">
        <f t="shared" si="15"/>
        <v>0</v>
      </c>
      <c r="R33" s="196">
        <f t="shared" si="16"/>
        <v>0</v>
      </c>
    </row>
    <row r="34" spans="1:18" s="198" customFormat="1" ht="30" customHeight="1">
      <c r="A34" s="190">
        <f t="shared" si="0"/>
        <v>0</v>
      </c>
      <c r="B34" s="191">
        <f t="shared" si="1"/>
        <v>0.45833333333333337</v>
      </c>
      <c r="C34" s="192">
        <f t="shared" si="2"/>
        <v>0</v>
      </c>
      <c r="D34" s="199"/>
      <c r="E34" s="193">
        <f t="shared" si="3"/>
        <v>0</v>
      </c>
      <c r="F34" s="194">
        <f t="shared" si="4"/>
        <v>0</v>
      </c>
      <c r="G34" s="195">
        <f t="shared" si="5"/>
        <v>0</v>
      </c>
      <c r="H34" s="196">
        <f t="shared" si="6"/>
        <v>0</v>
      </c>
      <c r="I34" s="196">
        <f t="shared" si="7"/>
        <v>0</v>
      </c>
      <c r="J34" s="197">
        <f t="shared" si="8"/>
        <v>0</v>
      </c>
      <c r="K34" s="196">
        <f t="shared" si="9"/>
        <v>0</v>
      </c>
      <c r="L34" s="196">
        <f t="shared" si="10"/>
        <v>0</v>
      </c>
      <c r="M34" s="196">
        <f t="shared" si="11"/>
        <v>0</v>
      </c>
      <c r="N34" s="196">
        <f t="shared" si="12"/>
        <v>0</v>
      </c>
      <c r="O34" s="196">
        <f t="shared" si="13"/>
        <v>0</v>
      </c>
      <c r="P34" s="196">
        <f t="shared" si="14"/>
        <v>0</v>
      </c>
      <c r="Q34" s="196">
        <f t="shared" si="15"/>
        <v>0</v>
      </c>
      <c r="R34" s="196">
        <f t="shared" si="16"/>
        <v>0</v>
      </c>
    </row>
    <row r="35" spans="1:18" s="198" customFormat="1" ht="30" customHeight="1">
      <c r="A35" s="190">
        <f t="shared" si="0"/>
        <v>0</v>
      </c>
      <c r="B35" s="191">
        <f t="shared" si="1"/>
        <v>0.4618055555555556</v>
      </c>
      <c r="C35" s="192">
        <f t="shared" si="2"/>
        <v>0</v>
      </c>
      <c r="D35" s="199"/>
      <c r="E35" s="193">
        <f t="shared" si="3"/>
        <v>0</v>
      </c>
      <c r="F35" s="194">
        <f t="shared" si="4"/>
        <v>0</v>
      </c>
      <c r="G35" s="195">
        <f t="shared" si="5"/>
        <v>0</v>
      </c>
      <c r="H35" s="196">
        <f t="shared" si="6"/>
        <v>0</v>
      </c>
      <c r="I35" s="196">
        <f t="shared" si="7"/>
        <v>0</v>
      </c>
      <c r="J35" s="197">
        <f t="shared" si="8"/>
        <v>0</v>
      </c>
      <c r="K35" s="196">
        <f t="shared" si="9"/>
        <v>0</v>
      </c>
      <c r="L35" s="196">
        <f t="shared" si="10"/>
        <v>0</v>
      </c>
      <c r="M35" s="196">
        <f t="shared" si="11"/>
        <v>0</v>
      </c>
      <c r="N35" s="196">
        <f t="shared" si="12"/>
        <v>0</v>
      </c>
      <c r="O35" s="196">
        <f t="shared" si="13"/>
        <v>0</v>
      </c>
      <c r="P35" s="196">
        <f t="shared" si="14"/>
        <v>0</v>
      </c>
      <c r="Q35" s="196">
        <f t="shared" si="15"/>
        <v>0</v>
      </c>
      <c r="R35" s="196">
        <f t="shared" si="16"/>
        <v>0</v>
      </c>
    </row>
    <row r="36" spans="1:18" s="198" customFormat="1" ht="30" customHeight="1">
      <c r="A36" s="190">
        <f t="shared" si="0"/>
        <v>0</v>
      </c>
      <c r="B36" s="191">
        <f t="shared" si="1"/>
        <v>0.4652777777777778</v>
      </c>
      <c r="C36" s="192">
        <f t="shared" si="2"/>
        <v>0</v>
      </c>
      <c r="D36" s="199"/>
      <c r="E36" s="193">
        <f t="shared" si="3"/>
        <v>0</v>
      </c>
      <c r="F36" s="194">
        <f t="shared" si="4"/>
        <v>0</v>
      </c>
      <c r="G36" s="195">
        <f t="shared" si="5"/>
        <v>0</v>
      </c>
      <c r="H36" s="196">
        <f t="shared" si="6"/>
        <v>0</v>
      </c>
      <c r="I36" s="196">
        <f t="shared" si="7"/>
        <v>0</v>
      </c>
      <c r="J36" s="197">
        <f t="shared" si="8"/>
        <v>0</v>
      </c>
      <c r="K36" s="196">
        <f t="shared" si="9"/>
        <v>0</v>
      </c>
      <c r="L36" s="196">
        <f t="shared" si="10"/>
        <v>0</v>
      </c>
      <c r="M36" s="196">
        <f t="shared" si="11"/>
        <v>0</v>
      </c>
      <c r="N36" s="196">
        <f t="shared" si="12"/>
        <v>0</v>
      </c>
      <c r="O36" s="196">
        <f t="shared" si="13"/>
        <v>0</v>
      </c>
      <c r="P36" s="196">
        <f t="shared" si="14"/>
        <v>0</v>
      </c>
      <c r="Q36" s="196">
        <f t="shared" si="15"/>
        <v>0</v>
      </c>
      <c r="R36" s="196">
        <f t="shared" si="16"/>
        <v>0</v>
      </c>
    </row>
    <row r="37" spans="1:18" s="198" customFormat="1" ht="30" customHeight="1">
      <c r="A37" s="190">
        <f t="shared" si="0"/>
        <v>0</v>
      </c>
      <c r="B37" s="191">
        <f t="shared" si="1"/>
        <v>0.46875</v>
      </c>
      <c r="C37" s="192">
        <f t="shared" si="2"/>
        <v>0</v>
      </c>
      <c r="D37" s="199"/>
      <c r="E37" s="193">
        <f t="shared" si="3"/>
        <v>0</v>
      </c>
      <c r="F37" s="194">
        <f t="shared" si="4"/>
        <v>0</v>
      </c>
      <c r="G37" s="195">
        <f t="shared" si="5"/>
        <v>0</v>
      </c>
      <c r="H37" s="196">
        <f t="shared" si="6"/>
        <v>0</v>
      </c>
      <c r="I37" s="196">
        <f t="shared" si="7"/>
        <v>0</v>
      </c>
      <c r="J37" s="197">
        <f t="shared" si="8"/>
        <v>0</v>
      </c>
      <c r="K37" s="196">
        <f t="shared" si="9"/>
        <v>0</v>
      </c>
      <c r="L37" s="196">
        <f t="shared" si="10"/>
        <v>0</v>
      </c>
      <c r="M37" s="196">
        <f t="shared" si="11"/>
        <v>0</v>
      </c>
      <c r="N37" s="196">
        <f t="shared" si="12"/>
        <v>0</v>
      </c>
      <c r="O37" s="196">
        <f t="shared" si="13"/>
        <v>0</v>
      </c>
      <c r="P37" s="196">
        <f t="shared" si="14"/>
        <v>0</v>
      </c>
      <c r="Q37" s="196">
        <f t="shared" si="15"/>
        <v>0</v>
      </c>
      <c r="R37" s="196">
        <f t="shared" si="16"/>
        <v>0</v>
      </c>
    </row>
    <row r="38" spans="1:18" s="198" customFormat="1" ht="30" customHeight="1">
      <c r="A38" s="190">
        <f t="shared" si="0"/>
        <v>0</v>
      </c>
      <c r="B38" s="191">
        <f t="shared" si="1"/>
        <v>0.4722222222222222</v>
      </c>
      <c r="C38" s="192">
        <f t="shared" si="2"/>
        <v>0</v>
      </c>
      <c r="D38" s="199"/>
      <c r="E38" s="193">
        <f t="shared" si="3"/>
        <v>0</v>
      </c>
      <c r="F38" s="194">
        <f t="shared" si="4"/>
        <v>0</v>
      </c>
      <c r="G38" s="195">
        <f t="shared" si="5"/>
        <v>0</v>
      </c>
      <c r="H38" s="196">
        <f t="shared" si="6"/>
        <v>0</v>
      </c>
      <c r="I38" s="196">
        <f t="shared" si="7"/>
        <v>0</v>
      </c>
      <c r="J38" s="197">
        <f t="shared" si="8"/>
        <v>0</v>
      </c>
      <c r="K38" s="196">
        <f t="shared" si="9"/>
        <v>0</v>
      </c>
      <c r="L38" s="196">
        <f t="shared" si="10"/>
        <v>0</v>
      </c>
      <c r="M38" s="196">
        <f t="shared" si="11"/>
        <v>0</v>
      </c>
      <c r="N38" s="196">
        <f t="shared" si="12"/>
        <v>0</v>
      </c>
      <c r="O38" s="196">
        <f t="shared" si="13"/>
        <v>0</v>
      </c>
      <c r="P38" s="196">
        <f t="shared" si="14"/>
        <v>0</v>
      </c>
      <c r="Q38" s="196">
        <f t="shared" si="15"/>
        <v>0</v>
      </c>
      <c r="R38" s="196">
        <f t="shared" si="16"/>
        <v>0</v>
      </c>
    </row>
    <row r="39" spans="1:18" s="198" customFormat="1" ht="30" customHeight="1">
      <c r="A39" s="190">
        <f t="shared" si="0"/>
        <v>0</v>
      </c>
      <c r="B39" s="191">
        <f t="shared" si="1"/>
        <v>0.4756944444444445</v>
      </c>
      <c r="C39" s="192">
        <f t="shared" si="2"/>
        <v>0</v>
      </c>
      <c r="D39" s="199"/>
      <c r="E39" s="193">
        <f t="shared" si="3"/>
        <v>0</v>
      </c>
      <c r="F39" s="194">
        <f t="shared" si="4"/>
        <v>0</v>
      </c>
      <c r="G39" s="195">
        <f t="shared" si="5"/>
        <v>0</v>
      </c>
      <c r="H39" s="196">
        <f t="shared" si="6"/>
        <v>0</v>
      </c>
      <c r="I39" s="196">
        <f t="shared" si="7"/>
        <v>0</v>
      </c>
      <c r="J39" s="197">
        <f t="shared" si="8"/>
        <v>0</v>
      </c>
      <c r="K39" s="196">
        <f t="shared" si="9"/>
        <v>0</v>
      </c>
      <c r="L39" s="196">
        <f t="shared" si="10"/>
        <v>0</v>
      </c>
      <c r="M39" s="196">
        <f t="shared" si="11"/>
        <v>0</v>
      </c>
      <c r="N39" s="196">
        <f t="shared" si="12"/>
        <v>0</v>
      </c>
      <c r="O39" s="196">
        <f t="shared" si="13"/>
        <v>0</v>
      </c>
      <c r="P39" s="196">
        <f t="shared" si="14"/>
        <v>0</v>
      </c>
      <c r="Q39" s="196">
        <f t="shared" si="15"/>
        <v>0</v>
      </c>
      <c r="R39" s="196">
        <f t="shared" si="16"/>
        <v>0</v>
      </c>
    </row>
    <row r="40" spans="1:18" s="198" customFormat="1" ht="30" customHeight="1">
      <c r="A40" s="190">
        <f t="shared" si="0"/>
        <v>0</v>
      </c>
      <c r="B40" s="191">
        <f t="shared" si="1"/>
        <v>0.4791666666666667</v>
      </c>
      <c r="C40" s="192">
        <f t="shared" si="2"/>
        <v>0</v>
      </c>
      <c r="D40" s="199"/>
      <c r="E40" s="193">
        <f t="shared" si="3"/>
        <v>0</v>
      </c>
      <c r="F40" s="194">
        <f t="shared" si="4"/>
        <v>0</v>
      </c>
      <c r="G40" s="195">
        <f t="shared" si="5"/>
        <v>0</v>
      </c>
      <c r="H40" s="196">
        <f t="shared" si="6"/>
        <v>0</v>
      </c>
      <c r="I40" s="196">
        <f t="shared" si="7"/>
        <v>0</v>
      </c>
      <c r="J40" s="197">
        <f t="shared" si="8"/>
        <v>0</v>
      </c>
      <c r="K40" s="196">
        <f t="shared" si="9"/>
        <v>0</v>
      </c>
      <c r="L40" s="196">
        <f t="shared" si="10"/>
        <v>0</v>
      </c>
      <c r="M40" s="196">
        <f t="shared" si="11"/>
        <v>0</v>
      </c>
      <c r="N40" s="196">
        <f t="shared" si="12"/>
        <v>0</v>
      </c>
      <c r="O40" s="196">
        <f t="shared" si="13"/>
        <v>0</v>
      </c>
      <c r="P40" s="196">
        <f t="shared" si="14"/>
        <v>0</v>
      </c>
      <c r="Q40" s="196">
        <f t="shared" si="15"/>
        <v>0</v>
      </c>
      <c r="R40" s="196">
        <f t="shared" si="16"/>
        <v>0</v>
      </c>
    </row>
    <row r="41" spans="1:18" s="198" customFormat="1" ht="30" customHeight="1">
      <c r="A41" s="190">
        <f t="shared" si="0"/>
        <v>0</v>
      </c>
      <c r="B41" s="191">
        <f t="shared" si="1"/>
        <v>0.4826388888888889</v>
      </c>
      <c r="C41" s="192">
        <f t="shared" si="2"/>
        <v>0</v>
      </c>
      <c r="D41" s="199"/>
      <c r="E41" s="193">
        <f t="shared" si="3"/>
        <v>0</v>
      </c>
      <c r="F41" s="194">
        <f t="shared" si="4"/>
        <v>0</v>
      </c>
      <c r="G41" s="195">
        <f t="shared" si="5"/>
        <v>0</v>
      </c>
      <c r="H41" s="196">
        <f t="shared" si="6"/>
        <v>0</v>
      </c>
      <c r="I41" s="196">
        <f t="shared" si="7"/>
        <v>0</v>
      </c>
      <c r="J41" s="197">
        <f t="shared" si="8"/>
        <v>0</v>
      </c>
      <c r="K41" s="196">
        <f t="shared" si="9"/>
        <v>0</v>
      </c>
      <c r="L41" s="196">
        <f t="shared" si="10"/>
        <v>0</v>
      </c>
      <c r="M41" s="196">
        <f t="shared" si="11"/>
        <v>0</v>
      </c>
      <c r="N41" s="196">
        <f t="shared" si="12"/>
        <v>0</v>
      </c>
      <c r="O41" s="196">
        <f t="shared" si="13"/>
        <v>0</v>
      </c>
      <c r="P41" s="196">
        <f t="shared" si="14"/>
        <v>0</v>
      </c>
      <c r="Q41" s="196">
        <f t="shared" si="15"/>
        <v>0</v>
      </c>
      <c r="R41" s="196">
        <f t="shared" si="16"/>
        <v>0</v>
      </c>
    </row>
    <row r="42" spans="1:18" s="198" customFormat="1" ht="30" customHeight="1">
      <c r="A42" s="190">
        <f t="shared" si="0"/>
        <v>0</v>
      </c>
      <c r="B42" s="191">
        <f t="shared" si="1"/>
        <v>0.48611111111111116</v>
      </c>
      <c r="C42" s="192">
        <f t="shared" si="2"/>
        <v>0</v>
      </c>
      <c r="D42" s="199"/>
      <c r="E42" s="193">
        <f t="shared" si="3"/>
        <v>0</v>
      </c>
      <c r="F42" s="194">
        <f t="shared" si="4"/>
        <v>0</v>
      </c>
      <c r="G42" s="195">
        <f t="shared" si="5"/>
        <v>0</v>
      </c>
      <c r="H42" s="196">
        <f t="shared" si="6"/>
        <v>0</v>
      </c>
      <c r="I42" s="196">
        <f t="shared" si="7"/>
        <v>0</v>
      </c>
      <c r="J42" s="197">
        <f t="shared" si="8"/>
        <v>0</v>
      </c>
      <c r="K42" s="196">
        <f t="shared" si="9"/>
        <v>0</v>
      </c>
      <c r="L42" s="196">
        <f t="shared" si="10"/>
        <v>0</v>
      </c>
      <c r="M42" s="196">
        <f t="shared" si="11"/>
        <v>0</v>
      </c>
      <c r="N42" s="196">
        <f t="shared" si="12"/>
        <v>0</v>
      </c>
      <c r="O42" s="196">
        <f t="shared" si="13"/>
        <v>0</v>
      </c>
      <c r="P42" s="196">
        <f t="shared" si="14"/>
        <v>0</v>
      </c>
      <c r="Q42" s="196">
        <f t="shared" si="15"/>
        <v>0</v>
      </c>
      <c r="R42" s="196">
        <f t="shared" si="16"/>
        <v>0</v>
      </c>
    </row>
    <row r="43" spans="1:18" s="198" customFormat="1" ht="30" customHeight="1">
      <c r="A43" s="190">
        <f t="shared" si="0"/>
        <v>0</v>
      </c>
      <c r="B43" s="191">
        <f t="shared" si="1"/>
        <v>0.48958333333333337</v>
      </c>
      <c r="C43" s="192">
        <f t="shared" si="2"/>
        <v>0</v>
      </c>
      <c r="D43" s="199"/>
      <c r="E43" s="193">
        <f t="shared" si="3"/>
        <v>0</v>
      </c>
      <c r="F43" s="194">
        <f t="shared" si="4"/>
        <v>0</v>
      </c>
      <c r="G43" s="195">
        <f t="shared" si="5"/>
        <v>0</v>
      </c>
      <c r="H43" s="196">
        <f t="shared" si="6"/>
        <v>0</v>
      </c>
      <c r="I43" s="196">
        <f t="shared" si="7"/>
        <v>0</v>
      </c>
      <c r="J43" s="197">
        <f t="shared" si="8"/>
        <v>0</v>
      </c>
      <c r="K43" s="196">
        <f t="shared" si="9"/>
        <v>0</v>
      </c>
      <c r="L43" s="196">
        <f t="shared" si="10"/>
        <v>0</v>
      </c>
      <c r="M43" s="196">
        <f t="shared" si="11"/>
        <v>0</v>
      </c>
      <c r="N43" s="196">
        <f t="shared" si="12"/>
        <v>0</v>
      </c>
      <c r="O43" s="196">
        <f t="shared" si="13"/>
        <v>0</v>
      </c>
      <c r="P43" s="196">
        <f t="shared" si="14"/>
        <v>0</v>
      </c>
      <c r="Q43" s="196">
        <f t="shared" si="15"/>
        <v>0</v>
      </c>
      <c r="R43" s="196">
        <f t="shared" si="16"/>
        <v>0</v>
      </c>
    </row>
    <row r="44" spans="1:18" s="198" customFormat="1" ht="30" customHeight="1">
      <c r="A44" s="190">
        <f t="shared" si="0"/>
        <v>0</v>
      </c>
      <c r="B44" s="191">
        <f t="shared" si="1"/>
        <v>0.4930555555555556</v>
      </c>
      <c r="C44" s="192">
        <f t="shared" si="2"/>
        <v>0</v>
      </c>
      <c r="D44" s="199"/>
      <c r="E44" s="193">
        <f t="shared" si="3"/>
        <v>0</v>
      </c>
      <c r="F44" s="194">
        <f t="shared" si="4"/>
        <v>0</v>
      </c>
      <c r="G44" s="195">
        <f t="shared" si="5"/>
        <v>0</v>
      </c>
      <c r="H44" s="196">
        <f t="shared" si="6"/>
        <v>0</v>
      </c>
      <c r="I44" s="196">
        <f t="shared" si="7"/>
        <v>0</v>
      </c>
      <c r="J44" s="197">
        <f t="shared" si="8"/>
        <v>0</v>
      </c>
      <c r="K44" s="196">
        <f t="shared" si="9"/>
        <v>0</v>
      </c>
      <c r="L44" s="196">
        <f t="shared" si="10"/>
        <v>0</v>
      </c>
      <c r="M44" s="196">
        <f t="shared" si="11"/>
        <v>0</v>
      </c>
      <c r="N44" s="196">
        <f t="shared" si="12"/>
        <v>0</v>
      </c>
      <c r="O44" s="196">
        <f t="shared" si="13"/>
        <v>0</v>
      </c>
      <c r="P44" s="196">
        <f t="shared" si="14"/>
        <v>0</v>
      </c>
      <c r="Q44" s="196">
        <f t="shared" si="15"/>
        <v>0</v>
      </c>
      <c r="R44" s="196">
        <f t="shared" si="16"/>
        <v>0</v>
      </c>
    </row>
    <row r="45" spans="1:18" s="198" customFormat="1" ht="30" customHeight="1">
      <c r="A45" s="190">
        <f t="shared" si="0"/>
        <v>0</v>
      </c>
      <c r="B45" s="191">
        <f t="shared" si="1"/>
        <v>0.4965277777777778</v>
      </c>
      <c r="C45" s="192">
        <f t="shared" si="2"/>
        <v>0</v>
      </c>
      <c r="D45" s="199"/>
      <c r="E45" s="193">
        <f t="shared" si="3"/>
        <v>0</v>
      </c>
      <c r="F45" s="194">
        <f t="shared" si="4"/>
        <v>0</v>
      </c>
      <c r="G45" s="195">
        <f t="shared" si="5"/>
        <v>0</v>
      </c>
      <c r="H45" s="196">
        <f t="shared" si="6"/>
        <v>0</v>
      </c>
      <c r="I45" s="196">
        <f t="shared" si="7"/>
        <v>0</v>
      </c>
      <c r="J45" s="197">
        <f t="shared" si="8"/>
        <v>0</v>
      </c>
      <c r="K45" s="196">
        <f t="shared" si="9"/>
        <v>0</v>
      </c>
      <c r="L45" s="196">
        <f t="shared" si="10"/>
        <v>0</v>
      </c>
      <c r="M45" s="196">
        <f t="shared" si="11"/>
        <v>0</v>
      </c>
      <c r="N45" s="196">
        <f t="shared" si="12"/>
        <v>0</v>
      </c>
      <c r="O45" s="196">
        <f t="shared" si="13"/>
        <v>0</v>
      </c>
      <c r="P45" s="196">
        <f t="shared" si="14"/>
        <v>0</v>
      </c>
      <c r="Q45" s="196">
        <f t="shared" si="15"/>
        <v>0</v>
      </c>
      <c r="R45" s="196">
        <f t="shared" si="16"/>
        <v>0</v>
      </c>
    </row>
    <row r="46" spans="1:18" s="198" customFormat="1" ht="30" customHeight="1">
      <c r="A46" s="190">
        <f t="shared" si="0"/>
        <v>0</v>
      </c>
      <c r="B46" s="191">
        <f t="shared" si="1"/>
        <v>0.5</v>
      </c>
      <c r="C46" s="192">
        <f t="shared" si="2"/>
        <v>0</v>
      </c>
      <c r="D46" s="199"/>
      <c r="E46" s="193">
        <f t="shared" si="3"/>
        <v>0</v>
      </c>
      <c r="F46" s="194">
        <f t="shared" si="4"/>
        <v>0</v>
      </c>
      <c r="G46" s="195">
        <f t="shared" si="5"/>
        <v>0</v>
      </c>
      <c r="H46" s="196">
        <f t="shared" si="6"/>
        <v>0</v>
      </c>
      <c r="I46" s="196">
        <f t="shared" si="7"/>
        <v>0</v>
      </c>
      <c r="J46" s="197">
        <f t="shared" si="8"/>
        <v>0</v>
      </c>
      <c r="K46" s="196">
        <f t="shared" si="9"/>
        <v>0</v>
      </c>
      <c r="L46" s="196">
        <f t="shared" si="10"/>
        <v>0</v>
      </c>
      <c r="M46" s="196">
        <f t="shared" si="11"/>
        <v>0</v>
      </c>
      <c r="N46" s="196">
        <f t="shared" si="12"/>
        <v>0</v>
      </c>
      <c r="O46" s="196">
        <f t="shared" si="13"/>
        <v>0</v>
      </c>
      <c r="P46" s="196">
        <f t="shared" si="14"/>
        <v>0</v>
      </c>
      <c r="Q46" s="196">
        <f t="shared" si="15"/>
        <v>0</v>
      </c>
      <c r="R46" s="196">
        <f t="shared" si="16"/>
        <v>0</v>
      </c>
    </row>
    <row r="47" spans="1:18" s="198" customFormat="1" ht="30" customHeight="1">
      <c r="A47" s="190">
        <f t="shared" si="0"/>
        <v>0</v>
      </c>
      <c r="B47" s="191">
        <f t="shared" si="1"/>
        <v>0.5034722222222222</v>
      </c>
      <c r="C47" s="192">
        <f t="shared" si="2"/>
        <v>0</v>
      </c>
      <c r="D47" s="199"/>
      <c r="E47" s="193">
        <f t="shared" si="3"/>
        <v>0</v>
      </c>
      <c r="F47" s="194">
        <f t="shared" si="4"/>
        <v>0</v>
      </c>
      <c r="G47" s="195">
        <f t="shared" si="5"/>
        <v>0</v>
      </c>
      <c r="H47" s="196">
        <f t="shared" si="6"/>
        <v>0</v>
      </c>
      <c r="I47" s="196">
        <f t="shared" si="7"/>
        <v>0</v>
      </c>
      <c r="J47" s="197">
        <f t="shared" si="8"/>
        <v>0</v>
      </c>
      <c r="K47" s="196">
        <f t="shared" si="9"/>
        <v>0</v>
      </c>
      <c r="L47" s="196">
        <f t="shared" si="10"/>
        <v>0</v>
      </c>
      <c r="M47" s="196">
        <f t="shared" si="11"/>
        <v>0</v>
      </c>
      <c r="N47" s="196">
        <f t="shared" si="12"/>
        <v>0</v>
      </c>
      <c r="O47" s="196">
        <f t="shared" si="13"/>
        <v>0</v>
      </c>
      <c r="P47" s="196">
        <f t="shared" si="14"/>
        <v>0</v>
      </c>
      <c r="Q47" s="196">
        <f t="shared" si="15"/>
        <v>0</v>
      </c>
      <c r="R47" s="196">
        <f t="shared" si="16"/>
        <v>0</v>
      </c>
    </row>
    <row r="48" spans="1:18" s="198" customFormat="1" ht="30" customHeight="1">
      <c r="A48" s="190">
        <f t="shared" si="0"/>
        <v>0</v>
      </c>
      <c r="B48" s="191">
        <f t="shared" si="1"/>
        <v>0.5069444444444444</v>
      </c>
      <c r="C48" s="192">
        <f t="shared" si="2"/>
        <v>0</v>
      </c>
      <c r="D48" s="199"/>
      <c r="E48" s="193">
        <f t="shared" si="3"/>
        <v>0</v>
      </c>
      <c r="F48" s="194">
        <f t="shared" si="4"/>
        <v>0</v>
      </c>
      <c r="G48" s="195">
        <f t="shared" si="5"/>
        <v>0</v>
      </c>
      <c r="H48" s="196">
        <f t="shared" si="6"/>
        <v>0</v>
      </c>
      <c r="I48" s="196">
        <f t="shared" si="7"/>
        <v>0</v>
      </c>
      <c r="J48" s="197">
        <f t="shared" si="8"/>
        <v>0</v>
      </c>
      <c r="K48" s="196">
        <f t="shared" si="9"/>
        <v>0</v>
      </c>
      <c r="L48" s="196">
        <f t="shared" si="10"/>
        <v>0</v>
      </c>
      <c r="M48" s="196">
        <f t="shared" si="11"/>
        <v>0</v>
      </c>
      <c r="N48" s="196">
        <f t="shared" si="12"/>
        <v>0</v>
      </c>
      <c r="O48" s="196">
        <f t="shared" si="13"/>
        <v>0</v>
      </c>
      <c r="P48" s="196">
        <f t="shared" si="14"/>
        <v>0</v>
      </c>
      <c r="Q48" s="196">
        <f t="shared" si="15"/>
        <v>0</v>
      </c>
      <c r="R48" s="196">
        <f t="shared" si="16"/>
        <v>0</v>
      </c>
    </row>
    <row r="49" spans="1:18" s="198" customFormat="1" ht="30" customHeight="1">
      <c r="A49" s="190">
        <f t="shared" si="0"/>
        <v>0</v>
      </c>
      <c r="B49" s="191">
        <f t="shared" si="1"/>
        <v>0.5104166666666667</v>
      </c>
      <c r="C49" s="192">
        <f t="shared" si="2"/>
        <v>0</v>
      </c>
      <c r="D49" s="199"/>
      <c r="E49" s="193">
        <f t="shared" si="3"/>
        <v>0</v>
      </c>
      <c r="F49" s="194">
        <f t="shared" si="4"/>
        <v>0</v>
      </c>
      <c r="G49" s="195">
        <f t="shared" si="5"/>
        <v>0</v>
      </c>
      <c r="H49" s="196">
        <f t="shared" si="6"/>
        <v>0</v>
      </c>
      <c r="I49" s="196">
        <f t="shared" si="7"/>
        <v>0</v>
      </c>
      <c r="J49" s="197">
        <f t="shared" si="8"/>
        <v>0</v>
      </c>
      <c r="K49" s="196">
        <f t="shared" si="9"/>
        <v>0</v>
      </c>
      <c r="L49" s="196">
        <f t="shared" si="10"/>
        <v>0</v>
      </c>
      <c r="M49" s="196">
        <f t="shared" si="11"/>
        <v>0</v>
      </c>
      <c r="N49" s="196">
        <f t="shared" si="12"/>
        <v>0</v>
      </c>
      <c r="O49" s="196">
        <f t="shared" si="13"/>
        <v>0</v>
      </c>
      <c r="P49" s="196">
        <f t="shared" si="14"/>
        <v>0</v>
      </c>
      <c r="Q49" s="196">
        <f t="shared" si="15"/>
        <v>0</v>
      </c>
      <c r="R49" s="196">
        <f t="shared" si="16"/>
        <v>0</v>
      </c>
    </row>
    <row r="50" spans="1:18" s="198" customFormat="1" ht="30" customHeight="1">
      <c r="A50" s="190">
        <f t="shared" si="0"/>
        <v>0</v>
      </c>
      <c r="B50" s="191">
        <f t="shared" si="1"/>
        <v>0.5138888888888888</v>
      </c>
      <c r="C50" s="192">
        <f t="shared" si="2"/>
        <v>0</v>
      </c>
      <c r="D50" s="199"/>
      <c r="E50" s="193">
        <f t="shared" si="3"/>
        <v>0</v>
      </c>
      <c r="F50" s="194">
        <f t="shared" si="4"/>
        <v>0</v>
      </c>
      <c r="G50" s="195">
        <f t="shared" si="5"/>
        <v>0</v>
      </c>
      <c r="H50" s="196">
        <f t="shared" si="6"/>
        <v>0</v>
      </c>
      <c r="I50" s="196">
        <f t="shared" si="7"/>
        <v>0</v>
      </c>
      <c r="J50" s="197">
        <f t="shared" si="8"/>
        <v>0</v>
      </c>
      <c r="K50" s="196">
        <f t="shared" si="9"/>
        <v>0</v>
      </c>
      <c r="L50" s="196">
        <f t="shared" si="10"/>
        <v>0</v>
      </c>
      <c r="M50" s="196">
        <f t="shared" si="11"/>
        <v>0</v>
      </c>
      <c r="N50" s="196">
        <f t="shared" si="12"/>
        <v>0</v>
      </c>
      <c r="O50" s="196">
        <f t="shared" si="13"/>
        <v>0</v>
      </c>
      <c r="P50" s="196">
        <f t="shared" si="14"/>
        <v>0</v>
      </c>
      <c r="Q50" s="196">
        <f t="shared" si="15"/>
        <v>0</v>
      </c>
      <c r="R50" s="196">
        <f t="shared" si="16"/>
        <v>0</v>
      </c>
    </row>
    <row r="51" spans="1:18" s="198" customFormat="1" ht="30" customHeight="1">
      <c r="A51" s="190">
        <f t="shared" si="0"/>
        <v>0</v>
      </c>
      <c r="B51" s="191">
        <f t="shared" si="1"/>
        <v>0.5173611111111112</v>
      </c>
      <c r="C51" s="192">
        <f t="shared" si="2"/>
        <v>0</v>
      </c>
      <c r="D51" s="199"/>
      <c r="E51" s="193">
        <f t="shared" si="3"/>
        <v>0</v>
      </c>
      <c r="F51" s="194">
        <f t="shared" si="4"/>
        <v>0</v>
      </c>
      <c r="G51" s="195">
        <f t="shared" si="5"/>
        <v>0</v>
      </c>
      <c r="H51" s="196">
        <f t="shared" si="6"/>
        <v>0</v>
      </c>
      <c r="I51" s="196">
        <f t="shared" si="7"/>
        <v>0</v>
      </c>
      <c r="J51" s="197">
        <f t="shared" si="8"/>
        <v>0</v>
      </c>
      <c r="K51" s="196">
        <f t="shared" si="9"/>
        <v>0</v>
      </c>
      <c r="L51" s="196">
        <f t="shared" si="10"/>
        <v>0</v>
      </c>
      <c r="M51" s="196">
        <f t="shared" si="11"/>
        <v>0</v>
      </c>
      <c r="N51" s="196">
        <f t="shared" si="12"/>
        <v>0</v>
      </c>
      <c r="O51" s="196">
        <f t="shared" si="13"/>
        <v>0</v>
      </c>
      <c r="P51" s="196">
        <f t="shared" si="14"/>
        <v>0</v>
      </c>
      <c r="Q51" s="196">
        <f t="shared" si="15"/>
        <v>0</v>
      </c>
      <c r="R51" s="196">
        <f t="shared" si="16"/>
        <v>0</v>
      </c>
    </row>
    <row r="52" spans="1:18" s="198" customFormat="1" ht="30" customHeight="1">
      <c r="A52" s="190">
        <f t="shared" si="0"/>
        <v>0</v>
      </c>
      <c r="B52" s="191">
        <f t="shared" si="1"/>
        <v>0.5208333333333334</v>
      </c>
      <c r="C52" s="192">
        <f t="shared" si="2"/>
        <v>0</v>
      </c>
      <c r="D52" s="199"/>
      <c r="E52" s="193">
        <f t="shared" si="3"/>
        <v>0</v>
      </c>
      <c r="F52" s="194">
        <f t="shared" si="4"/>
        <v>0</v>
      </c>
      <c r="G52" s="195">
        <f t="shared" si="5"/>
        <v>0</v>
      </c>
      <c r="H52" s="196">
        <f t="shared" si="6"/>
        <v>0</v>
      </c>
      <c r="I52" s="196">
        <f t="shared" si="7"/>
        <v>0</v>
      </c>
      <c r="J52" s="197">
        <f t="shared" si="8"/>
        <v>0</v>
      </c>
      <c r="K52" s="196">
        <f t="shared" si="9"/>
        <v>0</v>
      </c>
      <c r="L52" s="196">
        <f t="shared" si="10"/>
        <v>0</v>
      </c>
      <c r="M52" s="196">
        <f t="shared" si="11"/>
        <v>0</v>
      </c>
      <c r="N52" s="196">
        <f t="shared" si="12"/>
        <v>0</v>
      </c>
      <c r="O52" s="196">
        <f t="shared" si="13"/>
        <v>0</v>
      </c>
      <c r="P52" s="196">
        <f t="shared" si="14"/>
        <v>0</v>
      </c>
      <c r="Q52" s="196">
        <f t="shared" si="15"/>
        <v>0</v>
      </c>
      <c r="R52" s="196">
        <f t="shared" si="16"/>
        <v>0</v>
      </c>
    </row>
    <row r="53" spans="1:18" s="198" customFormat="1" ht="30" customHeight="1">
      <c r="A53" s="190">
        <f t="shared" si="0"/>
        <v>0</v>
      </c>
      <c r="B53" s="191">
        <f t="shared" si="1"/>
        <v>0.5243055555555556</v>
      </c>
      <c r="C53" s="192">
        <f t="shared" si="2"/>
        <v>0</v>
      </c>
      <c r="D53" s="199"/>
      <c r="E53" s="193">
        <f t="shared" si="3"/>
        <v>0</v>
      </c>
      <c r="F53" s="194">
        <f t="shared" si="4"/>
        <v>0</v>
      </c>
      <c r="G53" s="195">
        <f t="shared" si="5"/>
        <v>0</v>
      </c>
      <c r="H53" s="196">
        <f t="shared" si="6"/>
        <v>0</v>
      </c>
      <c r="I53" s="196">
        <f t="shared" si="7"/>
        <v>0</v>
      </c>
      <c r="J53" s="197">
        <f t="shared" si="8"/>
        <v>0</v>
      </c>
      <c r="K53" s="196">
        <f t="shared" si="9"/>
        <v>0</v>
      </c>
      <c r="L53" s="196">
        <f t="shared" si="10"/>
        <v>0</v>
      </c>
      <c r="M53" s="196">
        <f t="shared" si="11"/>
        <v>0</v>
      </c>
      <c r="N53" s="196">
        <f t="shared" si="12"/>
        <v>0</v>
      </c>
      <c r="O53" s="196">
        <f t="shared" si="13"/>
        <v>0</v>
      </c>
      <c r="P53" s="196">
        <f t="shared" si="14"/>
        <v>0</v>
      </c>
      <c r="Q53" s="196">
        <f t="shared" si="15"/>
        <v>0</v>
      </c>
      <c r="R53" s="196">
        <f t="shared" si="16"/>
        <v>0</v>
      </c>
    </row>
    <row r="54" spans="1:18" s="198" customFormat="1" ht="30" customHeight="1">
      <c r="A54" s="190">
        <f t="shared" si="0"/>
        <v>0</v>
      </c>
      <c r="B54" s="191">
        <f t="shared" si="1"/>
        <v>0.5277777777777778</v>
      </c>
      <c r="C54" s="192">
        <f t="shared" si="2"/>
        <v>0</v>
      </c>
      <c r="D54" s="199"/>
      <c r="E54" s="193">
        <f t="shared" si="3"/>
        <v>0</v>
      </c>
      <c r="F54" s="194">
        <f t="shared" si="4"/>
        <v>0</v>
      </c>
      <c r="G54" s="195">
        <f t="shared" si="5"/>
        <v>0</v>
      </c>
      <c r="H54" s="196">
        <f t="shared" si="6"/>
        <v>0</v>
      </c>
      <c r="I54" s="196">
        <f t="shared" si="7"/>
        <v>0</v>
      </c>
      <c r="J54" s="197">
        <f t="shared" si="8"/>
        <v>0</v>
      </c>
      <c r="K54" s="196">
        <f t="shared" si="9"/>
        <v>0</v>
      </c>
      <c r="L54" s="196">
        <f t="shared" si="10"/>
        <v>0</v>
      </c>
      <c r="M54" s="196">
        <f t="shared" si="11"/>
        <v>0</v>
      </c>
      <c r="N54" s="196">
        <f t="shared" si="12"/>
        <v>0</v>
      </c>
      <c r="O54" s="196">
        <f t="shared" si="13"/>
        <v>0</v>
      </c>
      <c r="P54" s="196">
        <f t="shared" si="14"/>
        <v>0</v>
      </c>
      <c r="Q54" s="196">
        <f t="shared" si="15"/>
        <v>0</v>
      </c>
      <c r="R54" s="196">
        <f t="shared" si="16"/>
        <v>0</v>
      </c>
    </row>
    <row r="55" spans="1:18" s="198" customFormat="1" ht="30" customHeight="1">
      <c r="A55" s="190">
        <f t="shared" si="0"/>
        <v>0</v>
      </c>
      <c r="B55" s="191">
        <f t="shared" si="1"/>
        <v>0.53125</v>
      </c>
      <c r="C55" s="192">
        <f t="shared" si="2"/>
        <v>0</v>
      </c>
      <c r="D55" s="199"/>
      <c r="E55" s="193">
        <f t="shared" si="3"/>
        <v>0</v>
      </c>
      <c r="F55" s="194">
        <f t="shared" si="4"/>
        <v>0</v>
      </c>
      <c r="G55" s="195">
        <f t="shared" si="5"/>
        <v>0</v>
      </c>
      <c r="H55" s="196">
        <f t="shared" si="6"/>
        <v>0</v>
      </c>
      <c r="I55" s="196">
        <f t="shared" si="7"/>
        <v>0</v>
      </c>
      <c r="J55" s="197">
        <f t="shared" si="8"/>
        <v>0</v>
      </c>
      <c r="K55" s="196">
        <f t="shared" si="9"/>
        <v>0</v>
      </c>
      <c r="L55" s="196">
        <f t="shared" si="10"/>
        <v>0</v>
      </c>
      <c r="M55" s="196">
        <f t="shared" si="11"/>
        <v>0</v>
      </c>
      <c r="N55" s="196">
        <f t="shared" si="12"/>
        <v>0</v>
      </c>
      <c r="O55" s="196">
        <f t="shared" si="13"/>
        <v>0</v>
      </c>
      <c r="P55" s="196">
        <f t="shared" si="14"/>
        <v>0</v>
      </c>
      <c r="Q55" s="196">
        <f t="shared" si="15"/>
        <v>0</v>
      </c>
      <c r="R55" s="196">
        <f t="shared" si="16"/>
        <v>0</v>
      </c>
    </row>
    <row r="56" spans="1:18" s="198" customFormat="1" ht="30" customHeight="1">
      <c r="A56" s="190">
        <f t="shared" si="0"/>
        <v>0</v>
      </c>
      <c r="B56" s="191">
        <f t="shared" si="1"/>
        <v>0.5347222222222222</v>
      </c>
      <c r="C56" s="192">
        <f t="shared" si="2"/>
        <v>0</v>
      </c>
      <c r="D56" s="199"/>
      <c r="E56" s="193">
        <f t="shared" si="3"/>
        <v>0</v>
      </c>
      <c r="F56" s="194">
        <f t="shared" si="4"/>
        <v>0</v>
      </c>
      <c r="G56" s="195">
        <f t="shared" si="5"/>
        <v>0</v>
      </c>
      <c r="H56" s="196">
        <f t="shared" si="6"/>
        <v>0</v>
      </c>
      <c r="I56" s="196">
        <f t="shared" si="7"/>
        <v>0</v>
      </c>
      <c r="J56" s="197">
        <f t="shared" si="8"/>
        <v>0</v>
      </c>
      <c r="K56" s="196">
        <f t="shared" si="9"/>
        <v>0</v>
      </c>
      <c r="L56" s="196">
        <f t="shared" si="10"/>
        <v>0</v>
      </c>
      <c r="M56" s="196">
        <f t="shared" si="11"/>
        <v>0</v>
      </c>
      <c r="N56" s="196">
        <f t="shared" si="12"/>
        <v>0</v>
      </c>
      <c r="O56" s="196">
        <f t="shared" si="13"/>
        <v>0</v>
      </c>
      <c r="P56" s="196">
        <f t="shared" si="14"/>
        <v>0</v>
      </c>
      <c r="Q56" s="196">
        <f t="shared" si="15"/>
        <v>0</v>
      </c>
      <c r="R56" s="196">
        <f t="shared" si="16"/>
        <v>0</v>
      </c>
    </row>
    <row r="57" spans="1:18" s="198" customFormat="1" ht="30" customHeight="1">
      <c r="A57" s="190">
        <f t="shared" si="0"/>
        <v>0</v>
      </c>
      <c r="B57" s="191">
        <f t="shared" si="1"/>
        <v>0.5381944444444444</v>
      </c>
      <c r="C57" s="192">
        <f t="shared" si="2"/>
        <v>0</v>
      </c>
      <c r="D57" s="199"/>
      <c r="E57" s="193">
        <f t="shared" si="3"/>
        <v>0</v>
      </c>
      <c r="F57" s="194">
        <f t="shared" si="4"/>
        <v>0</v>
      </c>
      <c r="G57" s="195">
        <f t="shared" si="5"/>
        <v>0</v>
      </c>
      <c r="H57" s="196">
        <f t="shared" si="6"/>
        <v>0</v>
      </c>
      <c r="I57" s="196">
        <f t="shared" si="7"/>
        <v>0</v>
      </c>
      <c r="J57" s="197">
        <f t="shared" si="8"/>
        <v>0</v>
      </c>
      <c r="K57" s="196">
        <f t="shared" si="9"/>
        <v>0</v>
      </c>
      <c r="L57" s="196">
        <f t="shared" si="10"/>
        <v>0</v>
      </c>
      <c r="M57" s="196">
        <f t="shared" si="11"/>
        <v>0</v>
      </c>
      <c r="N57" s="196">
        <f t="shared" si="12"/>
        <v>0</v>
      </c>
      <c r="O57" s="196">
        <f t="shared" si="13"/>
        <v>0</v>
      </c>
      <c r="P57" s="196">
        <f t="shared" si="14"/>
        <v>0</v>
      </c>
      <c r="Q57" s="196">
        <f t="shared" si="15"/>
        <v>0</v>
      </c>
      <c r="R57" s="196">
        <f t="shared" si="16"/>
        <v>0</v>
      </c>
    </row>
    <row r="58" spans="1:18" s="198" customFormat="1" ht="30" customHeight="1">
      <c r="A58" s="190">
        <f t="shared" si="0"/>
        <v>0</v>
      </c>
      <c r="B58" s="191">
        <f t="shared" si="1"/>
        <v>0.5416666666666667</v>
      </c>
      <c r="C58" s="192">
        <f t="shared" si="2"/>
        <v>0</v>
      </c>
      <c r="D58" s="199"/>
      <c r="E58" s="193">
        <f t="shared" si="3"/>
        <v>0</v>
      </c>
      <c r="F58" s="194">
        <f t="shared" si="4"/>
        <v>0</v>
      </c>
      <c r="G58" s="195">
        <f t="shared" si="5"/>
        <v>0</v>
      </c>
      <c r="H58" s="196">
        <f t="shared" si="6"/>
        <v>0</v>
      </c>
      <c r="I58" s="196">
        <f t="shared" si="7"/>
        <v>0</v>
      </c>
      <c r="J58" s="197">
        <f t="shared" si="8"/>
        <v>0</v>
      </c>
      <c r="K58" s="196">
        <f t="shared" si="9"/>
        <v>0</v>
      </c>
      <c r="L58" s="196">
        <f t="shared" si="10"/>
        <v>0</v>
      </c>
      <c r="M58" s="196">
        <f t="shared" si="11"/>
        <v>0</v>
      </c>
      <c r="N58" s="196">
        <f t="shared" si="12"/>
        <v>0</v>
      </c>
      <c r="O58" s="196">
        <f t="shared" si="13"/>
        <v>0</v>
      </c>
      <c r="P58" s="196">
        <f t="shared" si="14"/>
        <v>0</v>
      </c>
      <c r="Q58" s="196">
        <f t="shared" si="15"/>
        <v>0</v>
      </c>
      <c r="R58" s="196">
        <f t="shared" si="16"/>
        <v>0</v>
      </c>
    </row>
    <row r="59" spans="1:18" s="198" customFormat="1" ht="30" customHeight="1">
      <c r="A59" s="190">
        <f t="shared" si="0"/>
        <v>0</v>
      </c>
      <c r="B59" s="191">
        <f t="shared" si="1"/>
        <v>0.5451388888888888</v>
      </c>
      <c r="C59" s="192">
        <f t="shared" si="2"/>
        <v>0</v>
      </c>
      <c r="D59" s="199"/>
      <c r="E59" s="193">
        <f t="shared" si="3"/>
        <v>0</v>
      </c>
      <c r="F59" s="194">
        <f t="shared" si="4"/>
        <v>0</v>
      </c>
      <c r="G59" s="195">
        <f t="shared" si="5"/>
        <v>0</v>
      </c>
      <c r="H59" s="196">
        <f t="shared" si="6"/>
        <v>0</v>
      </c>
      <c r="I59" s="196">
        <f t="shared" si="7"/>
        <v>0</v>
      </c>
      <c r="J59" s="197">
        <f t="shared" si="8"/>
        <v>0</v>
      </c>
      <c r="K59" s="196">
        <f t="shared" si="9"/>
        <v>0</v>
      </c>
      <c r="L59" s="196">
        <f t="shared" si="10"/>
        <v>0</v>
      </c>
      <c r="M59" s="196">
        <f t="shared" si="11"/>
        <v>0</v>
      </c>
      <c r="N59" s="196">
        <f t="shared" si="12"/>
        <v>0</v>
      </c>
      <c r="O59" s="196">
        <f t="shared" si="13"/>
        <v>0</v>
      </c>
      <c r="P59" s="196">
        <f t="shared" si="14"/>
        <v>0</v>
      </c>
      <c r="Q59" s="196">
        <f t="shared" si="15"/>
        <v>0</v>
      </c>
      <c r="R59" s="196">
        <f t="shared" si="16"/>
        <v>0</v>
      </c>
    </row>
    <row r="60" spans="1:18" s="198" customFormat="1" ht="30" customHeight="1">
      <c r="A60" s="190">
        <f t="shared" si="0"/>
        <v>0</v>
      </c>
      <c r="B60" s="191">
        <f t="shared" si="1"/>
        <v>0.5486111111111112</v>
      </c>
      <c r="C60" s="192">
        <f t="shared" si="2"/>
        <v>0</v>
      </c>
      <c r="D60" s="199"/>
      <c r="E60" s="193">
        <f t="shared" si="3"/>
        <v>0</v>
      </c>
      <c r="F60" s="194">
        <f t="shared" si="4"/>
        <v>0</v>
      </c>
      <c r="G60" s="195">
        <f t="shared" si="5"/>
        <v>0</v>
      </c>
      <c r="H60" s="196">
        <f t="shared" si="6"/>
        <v>0</v>
      </c>
      <c r="I60" s="196">
        <f t="shared" si="7"/>
        <v>0</v>
      </c>
      <c r="J60" s="197">
        <f t="shared" si="8"/>
        <v>0</v>
      </c>
      <c r="K60" s="196">
        <f t="shared" si="9"/>
        <v>0</v>
      </c>
      <c r="L60" s="196">
        <f t="shared" si="10"/>
        <v>0</v>
      </c>
      <c r="M60" s="196">
        <f t="shared" si="11"/>
        <v>0</v>
      </c>
      <c r="N60" s="196">
        <f t="shared" si="12"/>
        <v>0</v>
      </c>
      <c r="O60" s="196">
        <f t="shared" si="13"/>
        <v>0</v>
      </c>
      <c r="P60" s="196">
        <f t="shared" si="14"/>
        <v>0</v>
      </c>
      <c r="Q60" s="196">
        <f t="shared" si="15"/>
        <v>0</v>
      </c>
      <c r="R60" s="196">
        <f t="shared" si="16"/>
        <v>0</v>
      </c>
    </row>
    <row r="61" spans="1:18" s="198" customFormat="1" ht="30" customHeight="1">
      <c r="A61" s="190">
        <f t="shared" si="0"/>
        <v>0</v>
      </c>
      <c r="B61" s="191">
        <f t="shared" si="1"/>
        <v>0.5520833333333334</v>
      </c>
      <c r="C61" s="192">
        <f t="shared" si="2"/>
        <v>0</v>
      </c>
      <c r="D61" s="199"/>
      <c r="E61" s="193">
        <f t="shared" si="3"/>
        <v>0</v>
      </c>
      <c r="F61" s="194">
        <f t="shared" si="4"/>
        <v>0</v>
      </c>
      <c r="G61" s="195">
        <f t="shared" si="5"/>
        <v>0</v>
      </c>
      <c r="H61" s="196">
        <f t="shared" si="6"/>
        <v>0</v>
      </c>
      <c r="I61" s="196">
        <f t="shared" si="7"/>
        <v>0</v>
      </c>
      <c r="J61" s="197">
        <f t="shared" si="8"/>
        <v>0</v>
      </c>
      <c r="K61" s="196">
        <f t="shared" si="9"/>
        <v>0</v>
      </c>
      <c r="L61" s="196">
        <f t="shared" si="10"/>
        <v>0</v>
      </c>
      <c r="M61" s="196">
        <f t="shared" si="11"/>
        <v>0</v>
      </c>
      <c r="N61" s="196">
        <f t="shared" si="12"/>
        <v>0</v>
      </c>
      <c r="O61" s="196">
        <f t="shared" si="13"/>
        <v>0</v>
      </c>
      <c r="P61" s="196">
        <f t="shared" si="14"/>
        <v>0</v>
      </c>
      <c r="Q61" s="196">
        <f t="shared" si="15"/>
        <v>0</v>
      </c>
      <c r="R61" s="196">
        <f t="shared" si="16"/>
        <v>0</v>
      </c>
    </row>
    <row r="62" spans="1:18" s="198" customFormat="1" ht="30" customHeight="1">
      <c r="A62" s="190">
        <f t="shared" si="0"/>
        <v>0</v>
      </c>
      <c r="B62" s="191">
        <f t="shared" si="1"/>
        <v>0.5555555555555556</v>
      </c>
      <c r="C62" s="192">
        <f t="shared" si="2"/>
        <v>0</v>
      </c>
      <c r="D62" s="199"/>
      <c r="E62" s="193">
        <f t="shared" si="3"/>
        <v>0</v>
      </c>
      <c r="F62" s="194">
        <f t="shared" si="4"/>
        <v>0</v>
      </c>
      <c r="G62" s="195">
        <f t="shared" si="5"/>
        <v>0</v>
      </c>
      <c r="H62" s="196">
        <f t="shared" si="6"/>
        <v>0</v>
      </c>
      <c r="I62" s="196">
        <f t="shared" si="7"/>
        <v>0</v>
      </c>
      <c r="J62" s="197">
        <f t="shared" si="8"/>
        <v>0</v>
      </c>
      <c r="K62" s="196">
        <f t="shared" si="9"/>
        <v>0</v>
      </c>
      <c r="L62" s="196">
        <f t="shared" si="10"/>
        <v>0</v>
      </c>
      <c r="M62" s="196">
        <f t="shared" si="11"/>
        <v>0</v>
      </c>
      <c r="N62" s="196">
        <f t="shared" si="12"/>
        <v>0</v>
      </c>
      <c r="O62" s="196">
        <f t="shared" si="13"/>
        <v>0</v>
      </c>
      <c r="P62" s="196">
        <f t="shared" si="14"/>
        <v>0</v>
      </c>
      <c r="Q62" s="196">
        <f t="shared" si="15"/>
        <v>0</v>
      </c>
      <c r="R62" s="196">
        <f t="shared" si="16"/>
        <v>0</v>
      </c>
    </row>
    <row r="63" spans="1:18" s="198" customFormat="1" ht="30" customHeight="1">
      <c r="A63" s="190">
        <f t="shared" si="0"/>
        <v>0</v>
      </c>
      <c r="B63" s="191">
        <f t="shared" si="1"/>
        <v>0.5590277777777778</v>
      </c>
      <c r="C63" s="192">
        <f t="shared" si="2"/>
        <v>0</v>
      </c>
      <c r="D63" s="199"/>
      <c r="E63" s="193">
        <f t="shared" si="3"/>
        <v>0</v>
      </c>
      <c r="F63" s="194">
        <f t="shared" si="4"/>
        <v>0</v>
      </c>
      <c r="G63" s="195">
        <f t="shared" si="5"/>
        <v>0</v>
      </c>
      <c r="H63" s="196">
        <f t="shared" si="6"/>
        <v>0</v>
      </c>
      <c r="I63" s="196">
        <f t="shared" si="7"/>
        <v>0</v>
      </c>
      <c r="J63" s="197">
        <f t="shared" si="8"/>
        <v>0</v>
      </c>
      <c r="K63" s="196">
        <f t="shared" si="9"/>
        <v>0</v>
      </c>
      <c r="L63" s="196">
        <f t="shared" si="10"/>
        <v>0</v>
      </c>
      <c r="M63" s="196">
        <f t="shared" si="11"/>
        <v>0</v>
      </c>
      <c r="N63" s="196">
        <f t="shared" si="12"/>
        <v>0</v>
      </c>
      <c r="O63" s="196">
        <f t="shared" si="13"/>
        <v>0</v>
      </c>
      <c r="P63" s="196">
        <f t="shared" si="14"/>
        <v>0</v>
      </c>
      <c r="Q63" s="196">
        <f t="shared" si="15"/>
        <v>0</v>
      </c>
      <c r="R63" s="196">
        <f t="shared" si="16"/>
        <v>0</v>
      </c>
    </row>
  </sheetData>
  <sheetProtection password="88A3" sheet="1" objects="1" scenarios="1" selectLockedCells="1"/>
  <conditionalFormatting sqref="A18:IV63 A4:C17 E4:IV17">
    <cfRule type="expression" priority="1" dxfId="13" stopIfTrue="1">
      <formula>MOD(ROW(A4),2)=0</formula>
    </cfRule>
  </conditionalFormatting>
  <conditionalFormatting sqref="D5:D63">
    <cfRule type="expression" priority="2" dxfId="1" stopIfTrue="1">
      <formula>(D5&lt;&gt;"")*(COUNTIF($D:$D,D5)&gt;1)</formula>
    </cfRule>
  </conditionalFormatting>
  <conditionalFormatting sqref="A4:B63">
    <cfRule type="expression" priority="3" dxfId="0" stopIfTrue="1">
      <formula>(A4&lt;&gt;"")*(COUNTIF($A:$A,A4)&gt;1)</formula>
    </cfRule>
  </conditionalFormatting>
  <conditionalFormatting sqref="E4:E63">
    <cfRule type="expression" priority="4" dxfId="5" stopIfTrue="1">
      <formula>COUNTIF($E:$E,$E4)&gt;1</formula>
    </cfRule>
  </conditionalFormatting>
  <conditionalFormatting sqref="D4:D17">
    <cfRule type="expression" priority="5" dxfId="0" stopIfTrue="1">
      <formula>(COUNTIF($A:$A,D4)&gt;1)</formula>
    </cfRule>
  </conditionalFormatting>
  <conditionalFormatting sqref="D4:D17">
    <cfRule type="expression" priority="6" dxfId="13" stopIfTrue="1">
      <formula>MOD(ROW(D4),2)=0</formula>
    </cfRule>
  </conditionalFormatting>
  <dataValidations count="1">
    <dataValidation showErrorMessage="1" sqref="B4:C63 E4:R63">
      <formula1>0</formula1>
      <formula2>0</formula2>
    </dataValidation>
  </dataValidations>
  <printOptions/>
  <pageMargins left="0.39375" right="0.19652777777777777" top="0.39305555555555555" bottom="0.19652777777777777" header="0.19652777777777777" footer="0.5118055555555555"/>
  <pageSetup firstPageNumber="1" useFirstPageNumber="1" fitToHeight="0" fitToWidth="1" horizontalDpi="300" verticalDpi="300" orientation="landscape" pageOrder="overThenDown" paperSize="9"/>
  <headerFooter alignWithMargins="0">
    <oddHeader>&amp;L&amp;F&amp;R&amp;12&amp;A (&amp;P)</oddHeader>
  </headerFooter>
  <rowBreaks count="1" manualBreakCount="1">
    <brk id="33" max="255" man="1"/>
  </rowBreaks>
  <legacyDrawing r:id="rId2"/>
</worksheet>
</file>

<file path=xl/worksheets/sheet5.xml><?xml version="1.0" encoding="utf-8"?>
<worksheet xmlns="http://schemas.openxmlformats.org/spreadsheetml/2006/main" xmlns:r="http://schemas.openxmlformats.org/officeDocument/2006/relationships">
  <sheetPr>
    <tabColor indexed="9"/>
  </sheetPr>
  <dimension ref="A1:G66"/>
  <sheetViews>
    <sheetView zoomScale="90" zoomScaleNormal="90" zoomScaleSheetLayoutView="90" workbookViewId="0" topLeftCell="A1">
      <pane ySplit="4" topLeftCell="A5" activePane="bottomLeft" state="frozen"/>
      <selection pane="topLeft" activeCell="A1" sqref="A1"/>
      <selection pane="bottomLeft" activeCell="F15" sqref="F15"/>
    </sheetView>
  </sheetViews>
  <sheetFormatPr defaultColWidth="9.140625" defaultRowHeight="15"/>
  <cols>
    <col min="1" max="1" width="12.7109375" style="200" customWidth="1"/>
    <col min="2" max="2" width="50.00390625" style="201" customWidth="1"/>
    <col min="3" max="3" width="10.00390625" style="202" customWidth="1"/>
    <col min="4" max="4" width="8.7109375" style="104" customWidth="1"/>
    <col min="5" max="5" width="30.7109375" style="201" customWidth="1"/>
    <col min="6" max="6" width="8.7109375" style="203" customWidth="1"/>
    <col min="7" max="7" width="30.7109375" style="201" customWidth="1"/>
    <col min="8" max="16384" width="11.421875" style="204" customWidth="1"/>
  </cols>
  <sheetData>
    <row r="1" spans="1:7" ht="21">
      <c r="A1" s="205" t="s">
        <v>82</v>
      </c>
      <c r="B1" s="42">
        <f>Parcours!$B$1</f>
        <v>0</v>
      </c>
      <c r="C1" s="206"/>
      <c r="D1" s="172"/>
      <c r="E1" s="172"/>
      <c r="F1" s="207"/>
      <c r="G1" s="171"/>
    </row>
    <row r="2" spans="1:7" ht="15.75">
      <c r="A2" s="208">
        <f>Niveau</f>
        <v>0</v>
      </c>
      <c r="B2" s="209">
        <f>Parcours!$B$2</f>
        <v>0</v>
      </c>
      <c r="C2" s="210"/>
      <c r="D2" s="209"/>
      <c r="E2" s="209"/>
      <c r="F2" s="211"/>
      <c r="G2" s="111"/>
    </row>
    <row r="3" spans="1:7" ht="15" customHeight="1">
      <c r="A3" s="212" t="s">
        <v>227</v>
      </c>
      <c r="B3" s="213" t="s">
        <v>230</v>
      </c>
      <c r="C3" s="214" t="s">
        <v>231</v>
      </c>
      <c r="D3" s="215" t="s">
        <v>232</v>
      </c>
      <c r="E3" s="215"/>
      <c r="F3" s="215"/>
      <c r="G3" s="215"/>
    </row>
    <row r="4" spans="1:7" ht="15" customHeight="1">
      <c r="A4" s="212"/>
      <c r="B4" s="213"/>
      <c r="C4" s="214"/>
      <c r="D4" s="216" t="s">
        <v>233</v>
      </c>
      <c r="E4" s="216"/>
      <c r="F4" s="217" t="s">
        <v>234</v>
      </c>
      <c r="G4" s="217"/>
    </row>
    <row r="5" spans="1:7" ht="39.75" customHeight="1">
      <c r="A5" s="218">
        <f>Départs!A4</f>
        <v>1</v>
      </c>
      <c r="B5" s="219">
        <f aca="true" t="shared" si="0" ref="B5:B64">IF($A5="","",VLOOKUP($A5,Départs,COLUMN(équipe),FALSE))</f>
        <v>0</v>
      </c>
      <c r="C5" s="220">
        <f aca="true" t="shared" si="1" ref="C5:C64">IF($A5="","",VLOOKUP($A5,Départs,COLUMN(Heure_départ)))</f>
        <v>0.3541666666666667</v>
      </c>
      <c r="D5" s="221">
        <v>0.20277777777777778</v>
      </c>
      <c r="E5" s="222" t="s">
        <v>235</v>
      </c>
      <c r="F5" s="221">
        <v>0.5590277777777778</v>
      </c>
      <c r="G5" s="222" t="s">
        <v>235</v>
      </c>
    </row>
    <row r="6" spans="1:7" ht="39.75" customHeight="1">
      <c r="A6" s="223">
        <f>Départs!A5</f>
        <v>2</v>
      </c>
      <c r="B6" s="219">
        <f t="shared" si="0"/>
        <v>0</v>
      </c>
      <c r="C6" s="224">
        <f t="shared" si="1"/>
        <v>0.3576388888888889</v>
      </c>
      <c r="D6" s="225">
        <v>0.1875</v>
      </c>
      <c r="E6" s="222"/>
      <c r="F6" s="225">
        <v>0.5451388888888888</v>
      </c>
      <c r="G6" s="222"/>
    </row>
    <row r="7" spans="1:7" ht="39.75" customHeight="1">
      <c r="A7" s="223">
        <f>Départs!A6</f>
        <v>3</v>
      </c>
      <c r="B7" s="219">
        <f t="shared" si="0"/>
        <v>0</v>
      </c>
      <c r="C7" s="224">
        <f t="shared" si="1"/>
        <v>0.3611111111111111</v>
      </c>
      <c r="D7" s="225">
        <v>0.20972222222222223</v>
      </c>
      <c r="E7" s="222"/>
      <c r="F7" s="225">
        <v>0.5708333333333333</v>
      </c>
      <c r="G7" s="222"/>
    </row>
    <row r="8" spans="1:7" ht="39.75" customHeight="1">
      <c r="A8" s="223">
        <f>Départs!A7</f>
        <v>4</v>
      </c>
      <c r="B8" s="219">
        <f t="shared" si="0"/>
        <v>0</v>
      </c>
      <c r="C8" s="224">
        <f t="shared" si="1"/>
        <v>0.36458333333333337</v>
      </c>
      <c r="D8" s="225">
        <v>0.21319444444444444</v>
      </c>
      <c r="E8" s="222"/>
      <c r="F8" s="225">
        <v>0.5777777777777777</v>
      </c>
      <c r="G8" s="222"/>
    </row>
    <row r="9" spans="1:7" ht="39.75" customHeight="1">
      <c r="A9" s="223">
        <f>Départs!A8</f>
        <v>5</v>
      </c>
      <c r="B9" s="219">
        <f t="shared" si="0"/>
        <v>0</v>
      </c>
      <c r="C9" s="224">
        <f t="shared" si="1"/>
        <v>0.3680555555555556</v>
      </c>
      <c r="D9" s="225">
        <v>0.2125</v>
      </c>
      <c r="E9" s="222"/>
      <c r="F9" s="225">
        <v>0.6006944444444444</v>
      </c>
      <c r="G9" s="222"/>
    </row>
    <row r="10" spans="1:7" ht="39.75" customHeight="1">
      <c r="A10" s="223">
        <f>Départs!A9</f>
        <v>0</v>
      </c>
      <c r="B10" s="219">
        <f t="shared" si="0"/>
        <v>0</v>
      </c>
      <c r="C10" s="224">
        <f t="shared" si="1"/>
        <v>0</v>
      </c>
      <c r="D10" s="225">
        <v>0.2152777777777778</v>
      </c>
      <c r="E10" s="222"/>
      <c r="F10" s="225">
        <v>0.6006944444444444</v>
      </c>
      <c r="G10" s="222"/>
    </row>
    <row r="11" spans="1:7" ht="39.75" customHeight="1">
      <c r="A11" s="223">
        <f>Départs!A10</f>
        <v>7</v>
      </c>
      <c r="B11" s="219">
        <f t="shared" si="0"/>
        <v>0</v>
      </c>
      <c r="C11" s="224">
        <f t="shared" si="1"/>
        <v>0.375</v>
      </c>
      <c r="D11" s="225">
        <v>0.20902777777777778</v>
      </c>
      <c r="E11" s="222"/>
      <c r="F11" s="225">
        <v>0.5840277777777778</v>
      </c>
      <c r="G11" s="222"/>
    </row>
    <row r="12" spans="1:7" ht="39.75" customHeight="1">
      <c r="A12" s="223">
        <f>Départs!A11</f>
        <v>8</v>
      </c>
      <c r="B12" s="219">
        <f t="shared" si="0"/>
        <v>0</v>
      </c>
      <c r="C12" s="224">
        <f t="shared" si="1"/>
        <v>0.37847222222222227</v>
      </c>
      <c r="D12" s="225">
        <v>0.21666666666666667</v>
      </c>
      <c r="E12" s="222"/>
      <c r="F12" s="225">
        <v>0.5951388888888889</v>
      </c>
      <c r="G12" s="222"/>
    </row>
    <row r="13" spans="1:7" ht="39.75" customHeight="1">
      <c r="A13" s="223">
        <f>Départs!A12</f>
        <v>9</v>
      </c>
      <c r="B13" s="219">
        <f t="shared" si="0"/>
        <v>0</v>
      </c>
      <c r="C13" s="224">
        <f t="shared" si="1"/>
        <v>0.3819444444444445</v>
      </c>
      <c r="D13" s="225">
        <v>0.22361111111111112</v>
      </c>
      <c r="E13" s="222"/>
      <c r="F13" s="225">
        <v>0.6055555555555555</v>
      </c>
      <c r="G13" s="222"/>
    </row>
    <row r="14" spans="1:7" ht="39.75" customHeight="1">
      <c r="A14" s="223">
        <f>Départs!A13</f>
        <v>10</v>
      </c>
      <c r="B14" s="219">
        <f t="shared" si="0"/>
        <v>0</v>
      </c>
      <c r="C14" s="224">
        <f t="shared" si="1"/>
        <v>0.3854166666666667</v>
      </c>
      <c r="D14" s="225">
        <v>0.22916666666666666</v>
      </c>
      <c r="E14" s="222"/>
      <c r="F14" s="225">
        <v>0.6236111111111111</v>
      </c>
      <c r="G14" s="222"/>
    </row>
    <row r="15" spans="1:7" ht="39.75" customHeight="1">
      <c r="A15" s="223">
        <f>Départs!A14</f>
        <v>11</v>
      </c>
      <c r="B15" s="219">
        <f t="shared" si="0"/>
        <v>0</v>
      </c>
      <c r="C15" s="224">
        <f t="shared" si="1"/>
        <v>0.3888888888888889</v>
      </c>
      <c r="D15" s="225">
        <v>0.2222222222222222</v>
      </c>
      <c r="E15" s="222"/>
      <c r="F15" s="225">
        <v>0.6111111111111112</v>
      </c>
      <c r="G15" s="222"/>
    </row>
    <row r="16" spans="1:7" ht="39.75" customHeight="1">
      <c r="A16" s="223">
        <f>Départs!A15</f>
        <v>12</v>
      </c>
      <c r="B16" s="219">
        <f t="shared" si="0"/>
        <v>0</v>
      </c>
      <c r="C16" s="224">
        <f t="shared" si="1"/>
        <v>0.39236111111111116</v>
      </c>
      <c r="D16" s="225">
        <v>0.20972222222222223</v>
      </c>
      <c r="E16" s="222"/>
      <c r="F16" s="225">
        <v>0.6104166666666667</v>
      </c>
      <c r="G16" s="222"/>
    </row>
    <row r="17" spans="1:7" ht="39.75" customHeight="1">
      <c r="A17" s="223">
        <f>Départs!A16</f>
        <v>13</v>
      </c>
      <c r="B17" s="219">
        <f t="shared" si="0"/>
        <v>0</v>
      </c>
      <c r="C17" s="224">
        <f t="shared" si="1"/>
        <v>0.39583333333333337</v>
      </c>
      <c r="D17" s="225">
        <v>0.2152777777777778</v>
      </c>
      <c r="E17" s="222"/>
      <c r="F17" s="225">
        <v>0.6111111111111112</v>
      </c>
      <c r="G17" s="222"/>
    </row>
    <row r="18" spans="1:7" ht="39.75" customHeight="1">
      <c r="A18" s="223">
        <f>Départs!A17</f>
        <v>14</v>
      </c>
      <c r="B18" s="219">
        <f t="shared" si="0"/>
        <v>0</v>
      </c>
      <c r="C18" s="224">
        <f t="shared" si="1"/>
        <v>0.3993055555555556</v>
      </c>
      <c r="D18" s="225">
        <v>0.20902777777777778</v>
      </c>
      <c r="E18" s="222"/>
      <c r="F18" s="225">
        <v>0.6083333333333333</v>
      </c>
      <c r="G18" s="222"/>
    </row>
    <row r="19" spans="1:7" ht="39.75" customHeight="1">
      <c r="A19" s="223">
        <f>Départs!A18</f>
        <v>0</v>
      </c>
      <c r="B19" s="219">
        <f t="shared" si="0"/>
        <v>0</v>
      </c>
      <c r="C19" s="224">
        <f t="shared" si="1"/>
        <v>0</v>
      </c>
      <c r="D19" s="225"/>
      <c r="E19" s="222"/>
      <c r="F19" s="225"/>
      <c r="G19" s="222"/>
    </row>
    <row r="20" spans="1:7" ht="39.75" customHeight="1">
      <c r="A20" s="223">
        <f>Départs!A19</f>
        <v>0</v>
      </c>
      <c r="B20" s="219">
        <f t="shared" si="0"/>
        <v>0</v>
      </c>
      <c r="C20" s="224">
        <f t="shared" si="1"/>
        <v>0</v>
      </c>
      <c r="D20" s="225"/>
      <c r="E20" s="222"/>
      <c r="F20" s="225"/>
      <c r="G20" s="222"/>
    </row>
    <row r="21" spans="1:7" ht="39.75" customHeight="1">
      <c r="A21" s="223">
        <f>Départs!A20</f>
        <v>0</v>
      </c>
      <c r="B21" s="219">
        <f t="shared" si="0"/>
        <v>0</v>
      </c>
      <c r="C21" s="224">
        <f t="shared" si="1"/>
        <v>0</v>
      </c>
      <c r="D21" s="225"/>
      <c r="E21" s="222"/>
      <c r="F21" s="225"/>
      <c r="G21" s="222"/>
    </row>
    <row r="22" spans="1:7" ht="39.75" customHeight="1">
      <c r="A22" s="223">
        <f>Départs!A21</f>
        <v>0</v>
      </c>
      <c r="B22" s="219">
        <f t="shared" si="0"/>
        <v>0</v>
      </c>
      <c r="C22" s="224">
        <f t="shared" si="1"/>
        <v>0</v>
      </c>
      <c r="D22" s="225"/>
      <c r="E22" s="222"/>
      <c r="F22" s="225"/>
      <c r="G22" s="222"/>
    </row>
    <row r="23" spans="1:7" ht="39.75" customHeight="1">
      <c r="A23" s="223">
        <f>Départs!A22</f>
        <v>0</v>
      </c>
      <c r="B23" s="219">
        <f t="shared" si="0"/>
        <v>0</v>
      </c>
      <c r="C23" s="224">
        <f t="shared" si="1"/>
        <v>0</v>
      </c>
      <c r="D23" s="225"/>
      <c r="E23" s="222"/>
      <c r="F23" s="225"/>
      <c r="G23" s="222"/>
    </row>
    <row r="24" spans="1:7" ht="39.75" customHeight="1">
      <c r="A24" s="223">
        <f>Départs!A23</f>
        <v>0</v>
      </c>
      <c r="B24" s="219">
        <f t="shared" si="0"/>
        <v>0</v>
      </c>
      <c r="C24" s="224">
        <f t="shared" si="1"/>
        <v>0</v>
      </c>
      <c r="D24" s="225"/>
      <c r="E24" s="222"/>
      <c r="F24" s="225"/>
      <c r="G24" s="222"/>
    </row>
    <row r="25" spans="1:7" ht="39.75" customHeight="1">
      <c r="A25" s="223">
        <f>Départs!A24</f>
        <v>0</v>
      </c>
      <c r="B25" s="219">
        <f t="shared" si="0"/>
        <v>0</v>
      </c>
      <c r="C25" s="224">
        <f t="shared" si="1"/>
        <v>0</v>
      </c>
      <c r="D25" s="225"/>
      <c r="E25" s="222"/>
      <c r="F25" s="225"/>
      <c r="G25" s="222"/>
    </row>
    <row r="26" spans="1:7" ht="39.75" customHeight="1">
      <c r="A26" s="223">
        <f>Départs!A25</f>
        <v>0</v>
      </c>
      <c r="B26" s="219">
        <f t="shared" si="0"/>
        <v>0</v>
      </c>
      <c r="C26" s="224">
        <f t="shared" si="1"/>
        <v>0</v>
      </c>
      <c r="D26" s="225"/>
      <c r="E26" s="222"/>
      <c r="F26" s="225"/>
      <c r="G26" s="222"/>
    </row>
    <row r="27" spans="1:7" ht="39.75" customHeight="1">
      <c r="A27" s="223">
        <f>Départs!A26</f>
        <v>0</v>
      </c>
      <c r="B27" s="219">
        <f t="shared" si="0"/>
        <v>0</v>
      </c>
      <c r="C27" s="224">
        <f t="shared" si="1"/>
        <v>0</v>
      </c>
      <c r="D27" s="225"/>
      <c r="E27" s="222"/>
      <c r="F27" s="225"/>
      <c r="G27" s="222"/>
    </row>
    <row r="28" spans="1:7" ht="39.75" customHeight="1">
      <c r="A28" s="223">
        <f>Départs!A27</f>
        <v>0</v>
      </c>
      <c r="B28" s="219">
        <f t="shared" si="0"/>
        <v>0</v>
      </c>
      <c r="C28" s="224">
        <f t="shared" si="1"/>
        <v>0</v>
      </c>
      <c r="D28" s="225"/>
      <c r="E28" s="222"/>
      <c r="F28" s="225"/>
      <c r="G28" s="222"/>
    </row>
    <row r="29" spans="1:7" ht="39.75" customHeight="1">
      <c r="A29" s="223">
        <f>Départs!A28</f>
        <v>0</v>
      </c>
      <c r="B29" s="219">
        <f t="shared" si="0"/>
        <v>0</v>
      </c>
      <c r="C29" s="224">
        <f t="shared" si="1"/>
        <v>0</v>
      </c>
      <c r="D29" s="225"/>
      <c r="E29" s="222"/>
      <c r="F29" s="225"/>
      <c r="G29" s="222"/>
    </row>
    <row r="30" spans="1:7" ht="39.75" customHeight="1">
      <c r="A30" s="223">
        <f>Départs!A29</f>
        <v>0</v>
      </c>
      <c r="B30" s="219">
        <f t="shared" si="0"/>
        <v>0</v>
      </c>
      <c r="C30" s="224">
        <f t="shared" si="1"/>
        <v>0</v>
      </c>
      <c r="D30" s="225"/>
      <c r="E30" s="222"/>
      <c r="F30" s="225"/>
      <c r="G30" s="222"/>
    </row>
    <row r="31" spans="1:7" ht="39.75" customHeight="1">
      <c r="A31" s="223">
        <f>Départs!A30</f>
        <v>0</v>
      </c>
      <c r="B31" s="219">
        <f t="shared" si="0"/>
        <v>0</v>
      </c>
      <c r="C31" s="224">
        <f t="shared" si="1"/>
        <v>0</v>
      </c>
      <c r="D31" s="225"/>
      <c r="E31" s="222"/>
      <c r="F31" s="225"/>
      <c r="G31" s="222"/>
    </row>
    <row r="32" spans="1:7" ht="39.75" customHeight="1">
      <c r="A32" s="223">
        <f>Départs!A31</f>
        <v>0</v>
      </c>
      <c r="B32" s="219">
        <f t="shared" si="0"/>
        <v>0</v>
      </c>
      <c r="C32" s="224">
        <f t="shared" si="1"/>
        <v>0</v>
      </c>
      <c r="D32" s="225"/>
      <c r="E32" s="222"/>
      <c r="F32" s="225"/>
      <c r="G32" s="222"/>
    </row>
    <row r="33" spans="1:7" ht="39.75" customHeight="1">
      <c r="A33" s="223">
        <f>Départs!A32</f>
        <v>0</v>
      </c>
      <c r="B33" s="219">
        <f t="shared" si="0"/>
        <v>0</v>
      </c>
      <c r="C33" s="224">
        <f t="shared" si="1"/>
        <v>0</v>
      </c>
      <c r="D33" s="225"/>
      <c r="E33" s="222"/>
      <c r="F33" s="225"/>
      <c r="G33" s="222"/>
    </row>
    <row r="34" spans="1:7" ht="39.75" customHeight="1">
      <c r="A34" s="223">
        <f>Départs!A33</f>
        <v>0</v>
      </c>
      <c r="B34" s="219">
        <f t="shared" si="0"/>
        <v>0</v>
      </c>
      <c r="C34" s="224">
        <f t="shared" si="1"/>
        <v>0</v>
      </c>
      <c r="D34" s="225"/>
      <c r="E34" s="222"/>
      <c r="F34" s="225"/>
      <c r="G34" s="222"/>
    </row>
    <row r="35" spans="1:7" ht="39.75" customHeight="1">
      <c r="A35" s="223">
        <f>Départs!A34</f>
        <v>0</v>
      </c>
      <c r="B35" s="219">
        <f t="shared" si="0"/>
        <v>0</v>
      </c>
      <c r="C35" s="224">
        <f t="shared" si="1"/>
        <v>0</v>
      </c>
      <c r="D35" s="225"/>
      <c r="E35" s="222"/>
      <c r="F35" s="225"/>
      <c r="G35" s="222"/>
    </row>
    <row r="36" spans="1:7" ht="39.75" customHeight="1">
      <c r="A36" s="223">
        <f>Départs!A35</f>
        <v>0</v>
      </c>
      <c r="B36" s="219">
        <f t="shared" si="0"/>
        <v>0</v>
      </c>
      <c r="C36" s="224">
        <f t="shared" si="1"/>
        <v>0</v>
      </c>
      <c r="D36" s="225"/>
      <c r="E36" s="222"/>
      <c r="F36" s="225"/>
      <c r="G36" s="222"/>
    </row>
    <row r="37" spans="1:7" ht="39.75" customHeight="1">
      <c r="A37" s="223">
        <f>Départs!A36</f>
        <v>0</v>
      </c>
      <c r="B37" s="219">
        <f t="shared" si="0"/>
        <v>0</v>
      </c>
      <c r="C37" s="224">
        <f t="shared" si="1"/>
        <v>0</v>
      </c>
      <c r="D37" s="225"/>
      <c r="E37" s="222"/>
      <c r="F37" s="225"/>
      <c r="G37" s="222"/>
    </row>
    <row r="38" spans="1:7" ht="39.75" customHeight="1">
      <c r="A38" s="223">
        <f>Départs!A37</f>
        <v>0</v>
      </c>
      <c r="B38" s="219">
        <f t="shared" si="0"/>
        <v>0</v>
      </c>
      <c r="C38" s="224">
        <f t="shared" si="1"/>
        <v>0</v>
      </c>
      <c r="D38" s="225"/>
      <c r="E38" s="222"/>
      <c r="F38" s="225"/>
      <c r="G38" s="222"/>
    </row>
    <row r="39" spans="1:7" ht="39.75" customHeight="1">
      <c r="A39" s="223">
        <f>Départs!A38</f>
        <v>0</v>
      </c>
      <c r="B39" s="219">
        <f t="shared" si="0"/>
        <v>0</v>
      </c>
      <c r="C39" s="224">
        <f t="shared" si="1"/>
        <v>0</v>
      </c>
      <c r="D39" s="225"/>
      <c r="E39" s="222"/>
      <c r="F39" s="225"/>
      <c r="G39" s="222"/>
    </row>
    <row r="40" spans="1:7" ht="39.75" customHeight="1">
      <c r="A40" s="223">
        <f>Départs!A39</f>
        <v>0</v>
      </c>
      <c r="B40" s="219">
        <f t="shared" si="0"/>
        <v>0</v>
      </c>
      <c r="C40" s="224">
        <f t="shared" si="1"/>
        <v>0</v>
      </c>
      <c r="D40" s="225"/>
      <c r="E40" s="222"/>
      <c r="F40" s="225"/>
      <c r="G40" s="222"/>
    </row>
    <row r="41" spans="1:7" ht="39.75" customHeight="1">
      <c r="A41" s="223">
        <f>Départs!A40</f>
        <v>0</v>
      </c>
      <c r="B41" s="219">
        <f t="shared" si="0"/>
        <v>0</v>
      </c>
      <c r="C41" s="224">
        <f t="shared" si="1"/>
        <v>0</v>
      </c>
      <c r="D41" s="225"/>
      <c r="E41" s="222"/>
      <c r="F41" s="225"/>
      <c r="G41" s="222"/>
    </row>
    <row r="42" spans="1:7" ht="39.75" customHeight="1">
      <c r="A42" s="223">
        <f>Départs!A41</f>
        <v>0</v>
      </c>
      <c r="B42" s="219">
        <f t="shared" si="0"/>
        <v>0</v>
      </c>
      <c r="C42" s="224">
        <f t="shared" si="1"/>
        <v>0</v>
      </c>
      <c r="D42" s="225">
        <v>0.21805555555555556</v>
      </c>
      <c r="E42" s="222"/>
      <c r="F42" s="225"/>
      <c r="G42" s="222"/>
    </row>
    <row r="43" spans="1:7" ht="39.75" customHeight="1">
      <c r="A43" s="223">
        <f>Départs!A42</f>
        <v>0</v>
      </c>
      <c r="B43" s="219">
        <f t="shared" si="0"/>
        <v>0</v>
      </c>
      <c r="C43" s="224">
        <f t="shared" si="1"/>
        <v>0</v>
      </c>
      <c r="D43" s="225"/>
      <c r="E43" s="222"/>
      <c r="F43" s="225"/>
      <c r="G43" s="222"/>
    </row>
    <row r="44" spans="1:7" ht="39.75" customHeight="1">
      <c r="A44" s="223">
        <f>Départs!A43</f>
        <v>0</v>
      </c>
      <c r="B44" s="219">
        <f t="shared" si="0"/>
        <v>0</v>
      </c>
      <c r="C44" s="224">
        <f t="shared" si="1"/>
        <v>0</v>
      </c>
      <c r="D44" s="225"/>
      <c r="E44" s="222"/>
      <c r="F44" s="225"/>
      <c r="G44" s="222"/>
    </row>
    <row r="45" spans="1:7" ht="39.75" customHeight="1">
      <c r="A45" s="223">
        <f>Départs!A44</f>
        <v>0</v>
      </c>
      <c r="B45" s="219">
        <f t="shared" si="0"/>
        <v>0</v>
      </c>
      <c r="C45" s="224">
        <f t="shared" si="1"/>
        <v>0</v>
      </c>
      <c r="D45" s="225"/>
      <c r="E45" s="222"/>
      <c r="F45" s="225"/>
      <c r="G45" s="222"/>
    </row>
    <row r="46" spans="1:7" ht="39.75" customHeight="1">
      <c r="A46" s="223">
        <f>Départs!A45</f>
        <v>0</v>
      </c>
      <c r="B46" s="219">
        <f t="shared" si="0"/>
        <v>0</v>
      </c>
      <c r="C46" s="224">
        <f t="shared" si="1"/>
        <v>0</v>
      </c>
      <c r="D46" s="225"/>
      <c r="E46" s="222"/>
      <c r="F46" s="225"/>
      <c r="G46" s="222"/>
    </row>
    <row r="47" spans="1:7" ht="39.75" customHeight="1">
      <c r="A47" s="223">
        <f>Départs!A46</f>
        <v>0</v>
      </c>
      <c r="B47" s="219">
        <f t="shared" si="0"/>
        <v>0</v>
      </c>
      <c r="C47" s="224">
        <f t="shared" si="1"/>
        <v>0</v>
      </c>
      <c r="D47" s="225"/>
      <c r="E47" s="222"/>
      <c r="F47" s="225"/>
      <c r="G47" s="222"/>
    </row>
    <row r="48" spans="1:7" ht="39.75" customHeight="1">
      <c r="A48" s="223">
        <f>Départs!A47</f>
        <v>0</v>
      </c>
      <c r="B48" s="219">
        <f t="shared" si="0"/>
        <v>0</v>
      </c>
      <c r="C48" s="224">
        <f t="shared" si="1"/>
        <v>0</v>
      </c>
      <c r="D48" s="225"/>
      <c r="E48" s="222"/>
      <c r="F48" s="225"/>
      <c r="G48" s="222"/>
    </row>
    <row r="49" spans="1:7" ht="39.75" customHeight="1">
      <c r="A49" s="223">
        <f>Départs!A48</f>
        <v>0</v>
      </c>
      <c r="B49" s="219">
        <f t="shared" si="0"/>
        <v>0</v>
      </c>
      <c r="C49" s="224">
        <f t="shared" si="1"/>
        <v>0</v>
      </c>
      <c r="D49" s="225"/>
      <c r="E49" s="222"/>
      <c r="F49" s="225"/>
      <c r="G49" s="222"/>
    </row>
    <row r="50" spans="1:7" ht="39.75" customHeight="1">
      <c r="A50" s="223">
        <f>Départs!A49</f>
        <v>0</v>
      </c>
      <c r="B50" s="219">
        <f t="shared" si="0"/>
        <v>0</v>
      </c>
      <c r="C50" s="224">
        <f t="shared" si="1"/>
        <v>0</v>
      </c>
      <c r="D50" s="225"/>
      <c r="E50" s="222"/>
      <c r="F50" s="225"/>
      <c r="G50" s="222"/>
    </row>
    <row r="51" spans="1:7" ht="39.75" customHeight="1">
      <c r="A51" s="223">
        <f>Départs!A50</f>
        <v>0</v>
      </c>
      <c r="B51" s="219">
        <f t="shared" si="0"/>
        <v>0</v>
      </c>
      <c r="C51" s="224">
        <f t="shared" si="1"/>
        <v>0</v>
      </c>
      <c r="D51" s="225"/>
      <c r="E51" s="222"/>
      <c r="F51" s="225"/>
      <c r="G51" s="222"/>
    </row>
    <row r="52" spans="1:7" ht="39.75" customHeight="1">
      <c r="A52" s="223">
        <f>Départs!A51</f>
        <v>0</v>
      </c>
      <c r="B52" s="219">
        <f t="shared" si="0"/>
        <v>0</v>
      </c>
      <c r="C52" s="224">
        <f t="shared" si="1"/>
        <v>0</v>
      </c>
      <c r="D52" s="225"/>
      <c r="E52" s="222"/>
      <c r="F52" s="225"/>
      <c r="G52" s="222"/>
    </row>
    <row r="53" spans="1:7" ht="39.75" customHeight="1">
      <c r="A53" s="223">
        <f>Départs!A52</f>
        <v>0</v>
      </c>
      <c r="B53" s="219">
        <f t="shared" si="0"/>
        <v>0</v>
      </c>
      <c r="C53" s="224">
        <f t="shared" si="1"/>
        <v>0</v>
      </c>
      <c r="D53" s="225"/>
      <c r="E53" s="222"/>
      <c r="F53" s="225"/>
      <c r="G53" s="222"/>
    </row>
    <row r="54" spans="1:7" ht="39.75" customHeight="1">
      <c r="A54" s="223">
        <f>Départs!A53</f>
        <v>0</v>
      </c>
      <c r="B54" s="219">
        <f t="shared" si="0"/>
        <v>0</v>
      </c>
      <c r="C54" s="224">
        <f t="shared" si="1"/>
        <v>0</v>
      </c>
      <c r="D54" s="225"/>
      <c r="E54" s="222"/>
      <c r="F54" s="225"/>
      <c r="G54" s="222"/>
    </row>
    <row r="55" spans="1:7" ht="39.75" customHeight="1">
      <c r="A55" s="223">
        <f>Départs!A54</f>
        <v>0</v>
      </c>
      <c r="B55" s="219">
        <f t="shared" si="0"/>
        <v>0</v>
      </c>
      <c r="C55" s="224">
        <f t="shared" si="1"/>
        <v>0</v>
      </c>
      <c r="D55" s="225"/>
      <c r="E55" s="222"/>
      <c r="F55" s="225"/>
      <c r="G55" s="222"/>
    </row>
    <row r="56" spans="1:7" ht="39.75" customHeight="1">
      <c r="A56" s="223">
        <f>Départs!A55</f>
        <v>0</v>
      </c>
      <c r="B56" s="219">
        <f t="shared" si="0"/>
        <v>0</v>
      </c>
      <c r="C56" s="224">
        <f t="shared" si="1"/>
        <v>0</v>
      </c>
      <c r="D56" s="225"/>
      <c r="E56" s="222"/>
      <c r="F56" s="225"/>
      <c r="G56" s="222"/>
    </row>
    <row r="57" spans="1:7" ht="39.75" customHeight="1">
      <c r="A57" s="223">
        <f>Départs!A56</f>
        <v>0</v>
      </c>
      <c r="B57" s="219">
        <f t="shared" si="0"/>
        <v>0</v>
      </c>
      <c r="C57" s="224">
        <f t="shared" si="1"/>
        <v>0</v>
      </c>
      <c r="D57" s="225"/>
      <c r="E57" s="222"/>
      <c r="F57" s="225"/>
      <c r="G57" s="222"/>
    </row>
    <row r="58" spans="1:7" ht="39.75" customHeight="1">
      <c r="A58" s="223">
        <f>Départs!A57</f>
        <v>0</v>
      </c>
      <c r="B58" s="219">
        <f t="shared" si="0"/>
        <v>0</v>
      </c>
      <c r="C58" s="224">
        <f t="shared" si="1"/>
        <v>0</v>
      </c>
      <c r="D58" s="225"/>
      <c r="E58" s="222"/>
      <c r="F58" s="225"/>
      <c r="G58" s="222"/>
    </row>
    <row r="59" spans="1:7" ht="39.75" customHeight="1">
      <c r="A59" s="223">
        <f>Départs!A58</f>
        <v>0</v>
      </c>
      <c r="B59" s="219">
        <f t="shared" si="0"/>
        <v>0</v>
      </c>
      <c r="C59" s="224">
        <f t="shared" si="1"/>
        <v>0</v>
      </c>
      <c r="D59" s="225"/>
      <c r="E59" s="222"/>
      <c r="F59" s="225"/>
      <c r="G59" s="222"/>
    </row>
    <row r="60" spans="1:7" ht="39.75" customHeight="1">
      <c r="A60" s="223">
        <f>Départs!A59</f>
        <v>0</v>
      </c>
      <c r="B60" s="219">
        <f t="shared" si="0"/>
        <v>0</v>
      </c>
      <c r="C60" s="224">
        <f t="shared" si="1"/>
        <v>0</v>
      </c>
      <c r="D60" s="225"/>
      <c r="E60" s="222"/>
      <c r="F60" s="225"/>
      <c r="G60" s="222"/>
    </row>
    <row r="61" spans="1:7" ht="39.75" customHeight="1">
      <c r="A61" s="223">
        <f>Départs!A60</f>
        <v>0</v>
      </c>
      <c r="B61" s="219">
        <f t="shared" si="0"/>
        <v>0</v>
      </c>
      <c r="C61" s="224">
        <f t="shared" si="1"/>
        <v>0</v>
      </c>
      <c r="D61" s="225"/>
      <c r="E61" s="222"/>
      <c r="F61" s="225"/>
      <c r="G61" s="222"/>
    </row>
    <row r="62" spans="1:7" ht="39.75" customHeight="1">
      <c r="A62" s="223">
        <f>Départs!A61</f>
        <v>0</v>
      </c>
      <c r="B62" s="219">
        <f t="shared" si="0"/>
        <v>0</v>
      </c>
      <c r="C62" s="224">
        <f t="shared" si="1"/>
        <v>0</v>
      </c>
      <c r="D62" s="225"/>
      <c r="E62" s="222"/>
      <c r="F62" s="225"/>
      <c r="G62" s="222"/>
    </row>
    <row r="63" spans="1:7" ht="39.75" customHeight="1">
      <c r="A63" s="223">
        <f>Départs!A62</f>
        <v>0</v>
      </c>
      <c r="B63" s="219">
        <f t="shared" si="0"/>
        <v>0</v>
      </c>
      <c r="C63" s="224">
        <f t="shared" si="1"/>
        <v>0</v>
      </c>
      <c r="D63" s="225"/>
      <c r="E63" s="222"/>
      <c r="F63" s="225"/>
      <c r="G63" s="222"/>
    </row>
    <row r="64" spans="1:7" ht="39.75" customHeight="1">
      <c r="A64" s="226">
        <f>Départs!A63</f>
        <v>0</v>
      </c>
      <c r="B64" s="219">
        <f t="shared" si="0"/>
        <v>0</v>
      </c>
      <c r="C64" s="224">
        <f t="shared" si="1"/>
        <v>0</v>
      </c>
      <c r="D64" s="227"/>
      <c r="E64" s="222"/>
      <c r="F64" s="227"/>
      <c r="G64" s="222"/>
    </row>
    <row r="65" spans="1:7" ht="15">
      <c r="A65" s="228">
        <f>MIN(Dossard)</f>
        <v>1</v>
      </c>
      <c r="B65" s="229" t="s">
        <v>236</v>
      </c>
      <c r="D65" s="230">
        <f>Temps_référence_min</f>
        <v>0.19791666666666666</v>
      </c>
      <c r="F65" s="231">
        <f>Fin_épreuve_min</f>
        <v>0.5520833333333334</v>
      </c>
      <c r="G65" s="232"/>
    </row>
    <row r="66" spans="1:6" ht="15">
      <c r="A66" s="228">
        <f>MAX(Dossard)</f>
        <v>14</v>
      </c>
      <c r="D66" s="230">
        <f>Temps_référence_max</f>
        <v>0.23958333333333334</v>
      </c>
      <c r="F66" s="231">
        <f>IF(Fin_épreuve&gt;0,Fin_épreuve,Fin_épreuve_max)</f>
        <v>0.6875</v>
      </c>
    </row>
  </sheetData>
  <sheetProtection password="88A3" sheet="1" objects="1" scenarios="1" selectLockedCells="1"/>
  <mergeCells count="6">
    <mergeCell ref="A3:A4"/>
    <mergeCell ref="B3:B4"/>
    <mergeCell ref="C3:C4"/>
    <mergeCell ref="D3:G3"/>
    <mergeCell ref="D4:E4"/>
    <mergeCell ref="F4:G4"/>
  </mergeCells>
  <conditionalFormatting sqref="A5:G64">
    <cfRule type="expression" priority="1" dxfId="13" stopIfTrue="1">
      <formula>MOD(ROW(A5),2)=0</formula>
    </cfRule>
  </conditionalFormatting>
  <conditionalFormatting sqref="A5:A64">
    <cfRule type="expression" priority="2" dxfId="0" stopIfTrue="1">
      <formula>ISNUMBER($A5)*COUNTIF($A$5:$A$64,$A5)&gt;1</formula>
    </cfRule>
  </conditionalFormatting>
  <conditionalFormatting sqref="D5:D64">
    <cfRule type="expression" priority="3" dxfId="14" stopIfTrue="1">
      <formula>($A5&gt;0)*OR(D5&lt;Temps_référence_min,D5&gt;Temps_référence_max)</formula>
    </cfRule>
  </conditionalFormatting>
  <conditionalFormatting sqref="F5:F64">
    <cfRule type="expression" priority="4" dxfId="14" stopIfTrue="1">
      <formula>($A5&gt;0)*OR(F5&lt;$F$65,F5&gt;$F$66)</formula>
    </cfRule>
  </conditionalFormatting>
  <dataValidations count="1">
    <dataValidation showErrorMessage="1" sqref="E5:E64">
      <formula1>0</formula1>
      <formula2>0</formula2>
    </dataValidation>
  </dataValidations>
  <printOptions/>
  <pageMargins left="0.39375" right="0.39375" top="0.5902777777777778" bottom="0.5902777777777778" header="0.19652777777777777" footer="0.5118055555555555"/>
  <pageSetup horizontalDpi="300" verticalDpi="300" orientation="portrait" paperSize="9" scale="58"/>
  <headerFooter alignWithMargins="0">
    <oddHeader>&amp;R&amp;A(&amp;P)</oddHeader>
  </headerFooter>
  <rowBreaks count="1" manualBreakCount="1">
    <brk id="34" max="255" man="1"/>
  </rowBreaks>
</worksheet>
</file>

<file path=xl/worksheets/sheet6.xml><?xml version="1.0" encoding="utf-8"?>
<worksheet xmlns="http://schemas.openxmlformats.org/spreadsheetml/2006/main" xmlns:r="http://schemas.openxmlformats.org/officeDocument/2006/relationships">
  <sheetPr>
    <tabColor indexed="9"/>
    <pageSetUpPr fitToPage="1"/>
  </sheetPr>
  <dimension ref="A1:BB67"/>
  <sheetViews>
    <sheetView zoomScale="90" zoomScaleNormal="90" workbookViewId="0" topLeftCell="A1">
      <pane xSplit="2" ySplit="4" topLeftCell="L5" activePane="bottomRight" state="frozen"/>
      <selection pane="topLeft" activeCell="A1" sqref="A1"/>
      <selection pane="topRight" activeCell="L1" sqref="L1"/>
      <selection pane="bottomLeft" activeCell="A5" sqref="A5"/>
      <selection pane="bottomRight" activeCell="A10" sqref="A10"/>
    </sheetView>
  </sheetViews>
  <sheetFormatPr defaultColWidth="9.140625" defaultRowHeight="15"/>
  <cols>
    <col min="1" max="1" width="11.57421875" style="200" customWidth="1"/>
    <col min="2" max="2" width="28.421875" style="201" customWidth="1"/>
    <col min="3" max="3" width="6.8515625" style="202" customWidth="1"/>
    <col min="4" max="4" width="6.8515625" style="166" customWidth="1"/>
    <col min="5" max="5" width="7.421875" style="201" customWidth="1"/>
    <col min="6" max="6" width="7.28125" style="203" customWidth="1"/>
    <col min="7" max="7" width="7.57421875" style="201" customWidth="1"/>
    <col min="8" max="8" width="9.421875" style="201" customWidth="1"/>
    <col min="9" max="9" width="7.00390625" style="233" customWidth="1"/>
    <col min="10" max="10" width="11.8515625" style="234" customWidth="1"/>
    <col min="11" max="11" width="3.421875" style="201" customWidth="1"/>
    <col min="12" max="12" width="3.7109375" style="201" customWidth="1"/>
    <col min="13" max="27" width="3.28125" style="201" customWidth="1"/>
    <col min="28" max="28" width="3.140625" style="201" customWidth="1"/>
    <col min="29" max="29" width="3.28125" style="201" customWidth="1"/>
    <col min="30" max="30" width="3.8515625" style="235" customWidth="1"/>
    <col min="31" max="45" width="3.28125" style="201" customWidth="1"/>
    <col min="46" max="46" width="3.28125" style="201" hidden="1" customWidth="1"/>
    <col min="47" max="47" width="3.28125" style="201" customWidth="1"/>
    <col min="48" max="48" width="3.28125" style="203" customWidth="1"/>
    <col min="49" max="49" width="4.7109375" style="236" customWidth="1"/>
    <col min="50" max="50" width="10.28125" style="237" customWidth="1"/>
    <col min="51" max="51" width="25.7109375" style="238" customWidth="1"/>
    <col min="52" max="52" width="11.421875" style="238" customWidth="1"/>
    <col min="53" max="54" width="25.7109375" style="238" customWidth="1"/>
    <col min="55" max="16384" width="11.421875" style="238" customWidth="1"/>
  </cols>
  <sheetData>
    <row r="1" spans="1:50" s="171" customFormat="1" ht="24.75" customHeight="1">
      <c r="A1" s="239" t="s">
        <v>82</v>
      </c>
      <c r="B1" s="42">
        <f>Parcours!$B$1</f>
        <v>0</v>
      </c>
      <c r="C1" s="206"/>
      <c r="D1" s="172"/>
      <c r="E1" s="172"/>
      <c r="F1" s="207"/>
      <c r="I1" s="111"/>
      <c r="J1" s="42"/>
      <c r="AA1" s="240">
        <v>15</v>
      </c>
      <c r="AB1" s="240"/>
      <c r="AC1" s="240"/>
      <c r="AD1" s="241"/>
      <c r="AE1" s="42"/>
      <c r="AH1" s="172"/>
      <c r="AI1" s="172"/>
      <c r="AJ1" s="172"/>
      <c r="AK1" s="172"/>
      <c r="AL1" s="172"/>
      <c r="AM1" s="172"/>
      <c r="AN1" s="172"/>
      <c r="AO1" s="172"/>
      <c r="AP1" s="172"/>
      <c r="AQ1" s="172"/>
      <c r="AR1" s="172"/>
      <c r="AS1" s="172"/>
      <c r="AT1" s="240"/>
      <c r="AU1" s="240"/>
      <c r="AV1" s="242"/>
      <c r="AW1" s="211"/>
      <c r="AX1" s="175"/>
    </row>
    <row r="2" spans="1:50" s="111" customFormat="1" ht="24.75" customHeight="1">
      <c r="A2" s="208">
        <f>Niveau</f>
        <v>0</v>
      </c>
      <c r="B2" s="209">
        <f>Parcours!$B$2</f>
        <v>0</v>
      </c>
      <c r="C2" s="210"/>
      <c r="D2" s="209"/>
      <c r="E2" s="209"/>
      <c r="F2" s="211"/>
      <c r="J2" s="209"/>
      <c r="AA2" s="243"/>
      <c r="AB2" s="243"/>
      <c r="AC2" s="243"/>
      <c r="AD2" s="241"/>
      <c r="AE2" s="209"/>
      <c r="AF2" s="209"/>
      <c r="AG2" s="209"/>
      <c r="AH2" s="209"/>
      <c r="AI2" s="209"/>
      <c r="AJ2" s="209"/>
      <c r="AK2" s="209"/>
      <c r="AL2" s="209"/>
      <c r="AM2" s="209"/>
      <c r="AN2" s="209"/>
      <c r="AO2" s="209"/>
      <c r="AP2" s="209"/>
      <c r="AQ2" s="209"/>
      <c r="AR2" s="209"/>
      <c r="AS2" s="209"/>
      <c r="AT2" s="243"/>
      <c r="AU2" s="243"/>
      <c r="AV2" s="244"/>
      <c r="AW2" s="211"/>
      <c r="AX2" s="175"/>
    </row>
    <row r="3" spans="1:50" s="111" customFormat="1" ht="24.75" customHeight="1">
      <c r="A3" s="245" t="s">
        <v>227</v>
      </c>
      <c r="B3" s="246" t="s">
        <v>230</v>
      </c>
      <c r="C3" s="247">
        <f>Temps_référence</f>
        <v>0.21041666666666667</v>
      </c>
      <c r="D3" s="247"/>
      <c r="E3" s="247"/>
      <c r="F3" s="247"/>
      <c r="G3" s="247"/>
      <c r="H3" s="247"/>
      <c r="I3" s="247"/>
      <c r="J3" s="248">
        <f>CONCATENATE("Pénalités BORNES : ",Mal_placée," (mal placée)")</f>
        <v>0</v>
      </c>
      <c r="K3" s="248"/>
      <c r="L3" s="248"/>
      <c r="M3" s="248"/>
      <c r="N3" s="248"/>
      <c r="O3" s="248"/>
      <c r="P3" s="248"/>
      <c r="Q3" s="248"/>
      <c r="R3" s="248"/>
      <c r="S3" s="248"/>
      <c r="T3" s="248"/>
      <c r="U3" s="248"/>
      <c r="V3" s="248"/>
      <c r="W3" s="248"/>
      <c r="X3" s="248"/>
      <c r="Y3" s="248"/>
      <c r="Z3" s="248"/>
      <c r="AA3" s="248"/>
      <c r="AB3" s="248"/>
      <c r="AC3" s="248"/>
      <c r="AD3" s="248"/>
      <c r="AE3" s="249">
        <f>CONCATENATE("Pénalités ACM : ",Fausse," (réponse fausse) ou ",Non_répondue," (pas de réponse)")</f>
        <v>0</v>
      </c>
      <c r="AF3" s="249"/>
      <c r="AG3" s="249"/>
      <c r="AH3" s="249"/>
      <c r="AI3" s="249"/>
      <c r="AJ3" s="249"/>
      <c r="AK3" s="249"/>
      <c r="AL3" s="249"/>
      <c r="AM3" s="249"/>
      <c r="AN3" s="249"/>
      <c r="AO3" s="249"/>
      <c r="AP3" s="249"/>
      <c r="AQ3" s="249"/>
      <c r="AR3" s="249"/>
      <c r="AS3" s="249"/>
      <c r="AT3" s="249"/>
      <c r="AU3" s="249"/>
      <c r="AV3" s="249"/>
      <c r="AW3" s="249"/>
      <c r="AX3" s="250" t="s">
        <v>237</v>
      </c>
    </row>
    <row r="4" spans="1:50" s="264" customFormat="1" ht="60" customHeight="1">
      <c r="A4" s="245"/>
      <c r="B4" s="246"/>
      <c r="C4" s="251" t="s">
        <v>231</v>
      </c>
      <c r="D4" s="252" t="s">
        <v>233</v>
      </c>
      <c r="E4" s="252" t="s">
        <v>234</v>
      </c>
      <c r="F4" s="253" t="s">
        <v>238</v>
      </c>
      <c r="G4" s="254" t="s">
        <v>239</v>
      </c>
      <c r="H4" s="255" t="s">
        <v>240</v>
      </c>
      <c r="I4" s="256" t="s">
        <v>241</v>
      </c>
      <c r="J4" s="257">
        <f>MIN(Nombre_de_bornes,COUNTA(M4:AA4))</f>
        <v>13</v>
      </c>
      <c r="K4" s="258" t="s">
        <v>242</v>
      </c>
      <c r="L4" s="258" t="s">
        <v>243</v>
      </c>
      <c r="M4" s="259">
        <f>IF(COLUMN()-12&lt;=Nombre_de_bornes,COLUMN()-12,"")</f>
        <v>1</v>
      </c>
      <c r="N4" s="259">
        <f>IF(COLUMN()-12&lt;=Nombre_de_bornes,COLUMN()-12,"")</f>
        <v>2</v>
      </c>
      <c r="O4" s="259">
        <f>IF(COLUMN()-12&lt;=Nombre_de_bornes,COLUMN()-12,"")</f>
        <v>3</v>
      </c>
      <c r="P4" s="259">
        <f>IF(COLUMN()-12&lt;=Nombre_de_bornes,COLUMN()-12,"")</f>
        <v>4</v>
      </c>
      <c r="Q4" s="259">
        <f>IF(COLUMN()-12&lt;=Nombre_de_bornes,COLUMN()-12,"")</f>
        <v>5</v>
      </c>
      <c r="R4" s="259">
        <f>IF(COLUMN()-12&lt;=Nombre_de_bornes,COLUMN()-12,"")</f>
        <v>6</v>
      </c>
      <c r="S4" s="259">
        <f>IF(COLUMN()-12&lt;=Nombre_de_bornes,COLUMN()-12,"")</f>
        <v>7</v>
      </c>
      <c r="T4" s="259">
        <f>IF(COLUMN()-12&lt;=Nombre_de_bornes,COLUMN()-12,"")</f>
        <v>8</v>
      </c>
      <c r="U4" s="259">
        <f>IF(COLUMN()-12&lt;=Nombre_de_bornes,COLUMN()-12,"")</f>
        <v>9</v>
      </c>
      <c r="V4" s="259">
        <f>IF(COLUMN()-12&lt;=Nombre_de_bornes,COLUMN()-12,"")</f>
        <v>10</v>
      </c>
      <c r="W4" s="259">
        <f>IF(COLUMN()-12&lt;=Nombre_de_bornes,COLUMN()-12,"")</f>
        <v>11</v>
      </c>
      <c r="X4" s="259">
        <f>IF(COLUMN()-12&lt;=Nombre_de_bornes,COLUMN()-12,"")</f>
        <v>12</v>
      </c>
      <c r="Y4" s="259">
        <f>IF(COLUMN()-12&lt;=Nombre_de_bornes,COLUMN()-12,"")</f>
        <v>13</v>
      </c>
      <c r="Z4" s="259">
        <f>IF(COLUMN()-12&lt;=Nombre_de_bornes,COLUMN()-12,"")</f>
        <v>0</v>
      </c>
      <c r="AA4" s="259">
        <f>IF(COLUMN()-12&lt;=Nombre_de_bornes,COLUMN()-12,"")</f>
        <v>0</v>
      </c>
      <c r="AB4" s="258" t="s">
        <v>244</v>
      </c>
      <c r="AC4" s="260" t="s">
        <v>245</v>
      </c>
      <c r="AD4" s="256" t="s">
        <v>246</v>
      </c>
      <c r="AE4" s="259">
        <f>IF(COLUMN()-30&lt;=Nombre_de_bornes,COLUMN()-30,"")</f>
        <v>1</v>
      </c>
      <c r="AF4" s="259">
        <f>IF(COLUMN()-30&lt;=Nombre_de_bornes,COLUMN()-30,"")</f>
        <v>2</v>
      </c>
      <c r="AG4" s="259">
        <f>IF(COLUMN()-30&lt;=Nombre_de_bornes,COLUMN()-30,"")</f>
        <v>3</v>
      </c>
      <c r="AH4" s="259">
        <f>IF(COLUMN()-30&lt;=Nombre_de_bornes,COLUMN()-30,"")</f>
        <v>4</v>
      </c>
      <c r="AI4" s="259">
        <f>IF(COLUMN()-30&lt;=Nombre_de_bornes,COLUMN()-30,"")</f>
        <v>5</v>
      </c>
      <c r="AJ4" s="259">
        <f>IF(COLUMN()-30&lt;=Nombre_de_bornes,COLUMN()-30,"")</f>
        <v>6</v>
      </c>
      <c r="AK4" s="259">
        <f>IF(COLUMN()-30&lt;=Nombre_de_bornes,COLUMN()-30,"")</f>
        <v>7</v>
      </c>
      <c r="AL4" s="259">
        <f>IF(COLUMN()-30&lt;=Nombre_de_bornes,COLUMN()-30,"")</f>
        <v>8</v>
      </c>
      <c r="AM4" s="259">
        <f>IF(COLUMN()-30&lt;=Nombre_de_bornes,COLUMN()-30,"")</f>
        <v>9</v>
      </c>
      <c r="AN4" s="259">
        <f>IF(COLUMN()-30&lt;=Nombre_de_bornes,COLUMN()-30,"")</f>
        <v>10</v>
      </c>
      <c r="AO4" s="259">
        <f>IF(COLUMN()-30&lt;=Nombre_de_bornes,COLUMN()-30,"")</f>
        <v>11</v>
      </c>
      <c r="AP4" s="259">
        <f>IF(COLUMN()-30&lt;=Nombre_de_bornes,COLUMN()-30,"")</f>
        <v>12</v>
      </c>
      <c r="AQ4" s="259">
        <f>IF(COLUMN()-30&lt;=Nombre_de_bornes,COLUMN()-30,"")</f>
        <v>13</v>
      </c>
      <c r="AR4" s="259">
        <f>IF(COLUMN()-30&lt;=Nombre_de_bornes,COLUMN()-30,"")</f>
        <v>0</v>
      </c>
      <c r="AS4" s="259">
        <f>IF(COLUMN()-30&lt;=Nombre_de_bornes,COLUMN()-30,"")</f>
        <v>0</v>
      </c>
      <c r="AT4" s="261" t="s">
        <v>247</v>
      </c>
      <c r="AU4" s="262" t="s">
        <v>248</v>
      </c>
      <c r="AV4" s="263" t="s">
        <v>249</v>
      </c>
      <c r="AW4" s="256" t="s">
        <v>250</v>
      </c>
      <c r="AX4" s="250"/>
    </row>
    <row r="5" spans="1:54" s="278" customFormat="1" ht="18.75">
      <c r="A5" s="265">
        <v>1</v>
      </c>
      <c r="B5" s="266">
        <f aca="true" t="shared" si="0" ref="B5:B64">IF(ISNUMBER(A5),VLOOKUP(A5,Départs,COLUMN(équipe),FALSE),"")</f>
        <v>0</v>
      </c>
      <c r="C5" s="267">
        <f aca="true" t="shared" si="1" ref="C5:C64">IF(ISNUMBER(A5),VLOOKUP($A5,Départs,COLUMN(Heure_départ),FALSE),"")</f>
        <v>0.3541666666666667</v>
      </c>
      <c r="D5" s="267">
        <f aca="true" t="shared" si="2" ref="D5:D64">IF(ISNUMBER($A5),VLOOKUP($A5,émargement,COLUMN(Temps_cible),FALSE),"")</f>
        <v>0.20277777777777778</v>
      </c>
      <c r="E5" s="267">
        <f aca="true" t="shared" si="3" ref="E5:E64">IF(ISNUMBER($A5),VLOOKUP($A5,émargement,COLUMN(Heure_arrivée),FALSE),"")</f>
        <v>0.5590277777777778</v>
      </c>
      <c r="F5" s="267">
        <f aca="true" t="shared" si="4" ref="F5:F64">IF(ISNUMBER(A5),E5-C5,"")</f>
        <v>0.2048611111111111</v>
      </c>
      <c r="G5" s="268">
        <f aca="true" t="shared" si="5" ref="G5:G64">IF(ISNUMBER(A5),ROUND(ABS(D5-F5)*1440,0),"")</f>
        <v>3</v>
      </c>
      <c r="H5" s="268">
        <f aca="true" t="shared" si="6" ref="H5:H64">IF(ISNUMBER(A5),ROUND(ABS(Temps_référence-D5)*1440,0),"")</f>
        <v>11</v>
      </c>
      <c r="I5" s="269">
        <f aca="true" t="shared" si="7" ref="I5:I64">IF(ISNUMBER(A5),SUM(H5,G5),"")</f>
        <v>14</v>
      </c>
      <c r="J5" s="270">
        <v>12</v>
      </c>
      <c r="K5" s="268">
        <f aca="true" t="shared" si="8" ref="K5:K64">IF(ISNUMBER(A5),IF(J5&gt;Nombre_de_bornes,J5-Nombre_de_bornes,0),"")</f>
        <v>0</v>
      </c>
      <c r="L5" s="271">
        <f aca="true" t="shared" si="9" ref="L5:L64">IF(ISNUMBER(A5),IF(J5&lt;Nombre_bornes_réelles,Nombre_bornes_réelles-J5,0),"")</f>
        <v>1</v>
      </c>
      <c r="M5" s="272"/>
      <c r="N5" s="272"/>
      <c r="O5" s="272" t="s">
        <v>251</v>
      </c>
      <c r="P5" s="272" t="s">
        <v>251</v>
      </c>
      <c r="Q5" s="272"/>
      <c r="R5" s="272" t="s">
        <v>251</v>
      </c>
      <c r="S5" s="272" t="s">
        <v>251</v>
      </c>
      <c r="T5" s="272"/>
      <c r="U5" s="272"/>
      <c r="V5" s="272"/>
      <c r="W5" s="272"/>
      <c r="X5" s="272"/>
      <c r="Y5" s="272"/>
      <c r="Z5" s="273"/>
      <c r="AA5" s="274"/>
      <c r="AB5" s="268">
        <f aca="true" t="shared" si="10" ref="AB5:AB64">IF(ISNUMBER(A5),MIN(Nombre_de_bornes,COUNTIF(M5:AA5,Mal_placée)),"")</f>
        <v>4</v>
      </c>
      <c r="AC5" s="275">
        <f aca="true" t="shared" si="11" ref="AC5:AC64">IF(ISNUMBER(A5),IF(AB5&lt;L5,L5-AB5,0),0)</f>
        <v>0</v>
      </c>
      <c r="AD5" s="269">
        <f aca="true" t="shared" si="12" ref="AD5:AD64">IF(ISNUMBER(A5),IF(AC5&gt;0,999,K5*Excédentaire_coeff+AB5*Mal_placée_coeff),"")</f>
        <v>40</v>
      </c>
      <c r="AE5" s="272" t="s">
        <v>252</v>
      </c>
      <c r="AF5" s="272"/>
      <c r="AG5" s="272"/>
      <c r="AH5" s="272"/>
      <c r="AI5" s="272"/>
      <c r="AJ5" s="272" t="s">
        <v>252</v>
      </c>
      <c r="AK5" s="272" t="s">
        <v>97</v>
      </c>
      <c r="AL5" s="272"/>
      <c r="AM5" s="272"/>
      <c r="AN5" s="272" t="s">
        <v>252</v>
      </c>
      <c r="AO5" s="272"/>
      <c r="AP5" s="272" t="s">
        <v>252</v>
      </c>
      <c r="AQ5" s="272"/>
      <c r="AR5" s="272"/>
      <c r="AS5" s="274"/>
      <c r="AT5" s="268" t="e">
        <f aca="true" t="shared" si="13" ref="AT5:AT64">NA()</f>
        <v>#N/A</v>
      </c>
      <c r="AU5" s="195">
        <f aca="true" t="shared" si="14" ref="AU5:AU64">IF(ISNUMBER(A5),MIN(Nombre_de_bornes,COUNTIF(AE5:AS5,Fausse)),"")</f>
        <v>4</v>
      </c>
      <c r="AV5" s="271">
        <f aca="true" t="shared" si="15" ref="AV5:AV64">IF(ISNUMBER(A5),MIN(Nombre_de_bornes,COUNTIF(AE5:AS5,Non_répondue)),"")</f>
        <v>1</v>
      </c>
      <c r="AW5" s="269">
        <f aca="true" t="shared" si="16" ref="AW5:AW64">IF(ISNUMBER(A5),SUM(AU5*Fausse_coeff,AV5*Non_répondue_coeff),"")</f>
        <v>40</v>
      </c>
      <c r="AX5" s="276">
        <f aca="true" t="shared" si="17" ref="AX5:AX64">IF(ISNUMBER(A5),I5+AD5+AW5,"")</f>
        <v>94</v>
      </c>
      <c r="AY5" s="277"/>
      <c r="AZ5" s="277"/>
      <c r="BA5" s="277"/>
      <c r="BB5" s="277"/>
    </row>
    <row r="6" spans="1:54" s="278" customFormat="1" ht="18.75">
      <c r="A6" s="265">
        <v>2</v>
      </c>
      <c r="B6" s="266">
        <f t="shared" si="0"/>
        <v>0</v>
      </c>
      <c r="C6" s="267">
        <f t="shared" si="1"/>
        <v>0.3576388888888889</v>
      </c>
      <c r="D6" s="267">
        <f t="shared" si="2"/>
        <v>0.1875</v>
      </c>
      <c r="E6" s="267">
        <f t="shared" si="3"/>
        <v>0.5451388888888888</v>
      </c>
      <c r="F6" s="267">
        <f t="shared" si="4"/>
        <v>0.1875</v>
      </c>
      <c r="G6" s="268">
        <f t="shared" si="5"/>
        <v>0</v>
      </c>
      <c r="H6" s="268">
        <f t="shared" si="6"/>
        <v>33</v>
      </c>
      <c r="I6" s="269">
        <f t="shared" si="7"/>
        <v>33</v>
      </c>
      <c r="J6" s="270">
        <v>13</v>
      </c>
      <c r="K6" s="268">
        <f t="shared" si="8"/>
        <v>0</v>
      </c>
      <c r="L6" s="271">
        <f t="shared" si="9"/>
        <v>0</v>
      </c>
      <c r="M6" s="272"/>
      <c r="N6" s="272"/>
      <c r="O6" s="272"/>
      <c r="P6" s="272"/>
      <c r="Q6" s="272" t="s">
        <v>251</v>
      </c>
      <c r="R6" s="272"/>
      <c r="S6" s="272"/>
      <c r="T6" s="272"/>
      <c r="U6" s="272"/>
      <c r="V6" s="272"/>
      <c r="W6" s="272"/>
      <c r="X6" s="272"/>
      <c r="Y6" s="272"/>
      <c r="Z6" s="272"/>
      <c r="AA6" s="274"/>
      <c r="AB6" s="268">
        <f t="shared" si="10"/>
        <v>1</v>
      </c>
      <c r="AC6" s="275">
        <f t="shared" si="11"/>
        <v>0</v>
      </c>
      <c r="AD6" s="269">
        <f t="shared" si="12"/>
        <v>10</v>
      </c>
      <c r="AE6" s="272" t="s">
        <v>252</v>
      </c>
      <c r="AF6" s="272"/>
      <c r="AG6" s="272"/>
      <c r="AH6" s="272"/>
      <c r="AI6" s="272" t="s">
        <v>252</v>
      </c>
      <c r="AJ6" s="272" t="s">
        <v>252</v>
      </c>
      <c r="AK6" s="272"/>
      <c r="AL6" s="272" t="s">
        <v>252</v>
      </c>
      <c r="AM6" s="272"/>
      <c r="AN6" s="272" t="s">
        <v>252</v>
      </c>
      <c r="AO6" s="272"/>
      <c r="AP6" s="272"/>
      <c r="AQ6" s="272" t="s">
        <v>252</v>
      </c>
      <c r="AR6" s="272"/>
      <c r="AS6" s="274"/>
      <c r="AT6" s="268" t="e">
        <f t="shared" si="13"/>
        <v>#N/A</v>
      </c>
      <c r="AU6" s="195">
        <f t="shared" si="14"/>
        <v>6</v>
      </c>
      <c r="AV6" s="271">
        <f t="shared" si="15"/>
        <v>0</v>
      </c>
      <c r="AW6" s="269">
        <f t="shared" si="16"/>
        <v>30</v>
      </c>
      <c r="AX6" s="276">
        <f t="shared" si="17"/>
        <v>73</v>
      </c>
      <c r="AY6" s="277"/>
      <c r="AZ6" s="277"/>
      <c r="BA6" s="277"/>
      <c r="BB6" s="277"/>
    </row>
    <row r="7" spans="1:54" s="278" customFormat="1" ht="18.75">
      <c r="A7" s="265">
        <v>3</v>
      </c>
      <c r="B7" s="266">
        <f t="shared" si="0"/>
        <v>0</v>
      </c>
      <c r="C7" s="267">
        <f t="shared" si="1"/>
        <v>0.3611111111111111</v>
      </c>
      <c r="D7" s="267">
        <f t="shared" si="2"/>
        <v>0.20972222222222223</v>
      </c>
      <c r="E7" s="267">
        <f t="shared" si="3"/>
        <v>0.5708333333333333</v>
      </c>
      <c r="F7" s="267">
        <f t="shared" si="4"/>
        <v>0.20972222222222223</v>
      </c>
      <c r="G7" s="268">
        <f t="shared" si="5"/>
        <v>0</v>
      </c>
      <c r="H7" s="268">
        <f t="shared" si="6"/>
        <v>1</v>
      </c>
      <c r="I7" s="269">
        <f t="shared" si="7"/>
        <v>1</v>
      </c>
      <c r="J7" s="270">
        <v>13</v>
      </c>
      <c r="K7" s="268">
        <f t="shared" si="8"/>
        <v>0</v>
      </c>
      <c r="L7" s="271">
        <f t="shared" si="9"/>
        <v>0</v>
      </c>
      <c r="M7" s="272"/>
      <c r="N7" s="272"/>
      <c r="O7" s="272"/>
      <c r="P7" s="272"/>
      <c r="Q7" s="272"/>
      <c r="R7" s="272"/>
      <c r="S7" s="272"/>
      <c r="T7" s="272"/>
      <c r="U7" s="272"/>
      <c r="V7" s="272"/>
      <c r="W7" s="272"/>
      <c r="X7" s="272"/>
      <c r="Y7" s="272"/>
      <c r="Z7" s="272"/>
      <c r="AA7" s="274"/>
      <c r="AB7" s="268">
        <f t="shared" si="10"/>
        <v>0</v>
      </c>
      <c r="AC7" s="275">
        <f t="shared" si="11"/>
        <v>0</v>
      </c>
      <c r="AD7" s="269">
        <f t="shared" si="12"/>
        <v>0</v>
      </c>
      <c r="AE7" s="272" t="s">
        <v>252</v>
      </c>
      <c r="AF7" s="272"/>
      <c r="AG7" s="272"/>
      <c r="AH7" s="272" t="s">
        <v>252</v>
      </c>
      <c r="AI7" s="272"/>
      <c r="AJ7" s="272"/>
      <c r="AK7" s="272" t="s">
        <v>252</v>
      </c>
      <c r="AL7" s="272"/>
      <c r="AM7" s="272"/>
      <c r="AN7" s="272" t="s">
        <v>252</v>
      </c>
      <c r="AO7" s="272"/>
      <c r="AP7" s="272"/>
      <c r="AQ7" s="272"/>
      <c r="AR7" s="272"/>
      <c r="AS7" s="274"/>
      <c r="AT7" s="268" t="e">
        <f t="shared" si="13"/>
        <v>#N/A</v>
      </c>
      <c r="AU7" s="195">
        <f t="shared" si="14"/>
        <v>4</v>
      </c>
      <c r="AV7" s="271">
        <f t="shared" si="15"/>
        <v>0</v>
      </c>
      <c r="AW7" s="269">
        <f t="shared" si="16"/>
        <v>20</v>
      </c>
      <c r="AX7" s="276">
        <f t="shared" si="17"/>
        <v>21</v>
      </c>
      <c r="AY7" s="277"/>
      <c r="AZ7" s="277"/>
      <c r="BA7" s="277"/>
      <c r="BB7" s="277"/>
    </row>
    <row r="8" spans="1:54" s="278" customFormat="1" ht="18.75">
      <c r="A8" s="265">
        <v>4</v>
      </c>
      <c r="B8" s="266">
        <f t="shared" si="0"/>
        <v>0</v>
      </c>
      <c r="C8" s="267">
        <f t="shared" si="1"/>
        <v>0.36458333333333337</v>
      </c>
      <c r="D8" s="267">
        <f t="shared" si="2"/>
        <v>0.21319444444444444</v>
      </c>
      <c r="E8" s="267">
        <f t="shared" si="3"/>
        <v>0.5777777777777777</v>
      </c>
      <c r="F8" s="267">
        <f t="shared" si="4"/>
        <v>0.21319444444444444</v>
      </c>
      <c r="G8" s="268">
        <f t="shared" si="5"/>
        <v>0</v>
      </c>
      <c r="H8" s="268">
        <f t="shared" si="6"/>
        <v>4</v>
      </c>
      <c r="I8" s="269">
        <f t="shared" si="7"/>
        <v>4</v>
      </c>
      <c r="J8" s="270">
        <v>13</v>
      </c>
      <c r="K8" s="268">
        <f t="shared" si="8"/>
        <v>0</v>
      </c>
      <c r="L8" s="271">
        <f t="shared" si="9"/>
        <v>0</v>
      </c>
      <c r="M8" s="272"/>
      <c r="N8" s="272"/>
      <c r="O8" s="272"/>
      <c r="P8" s="272"/>
      <c r="Q8" s="272"/>
      <c r="R8" s="272"/>
      <c r="S8" s="272"/>
      <c r="T8" s="272"/>
      <c r="U8" s="272"/>
      <c r="V8" s="272"/>
      <c r="W8" s="272"/>
      <c r="X8" s="272"/>
      <c r="Y8" s="272"/>
      <c r="Z8" s="272"/>
      <c r="AA8" s="274"/>
      <c r="AB8" s="268">
        <f t="shared" si="10"/>
        <v>0</v>
      </c>
      <c r="AC8" s="275">
        <f t="shared" si="11"/>
        <v>0</v>
      </c>
      <c r="AD8" s="269">
        <f t="shared" si="12"/>
        <v>0</v>
      </c>
      <c r="AE8" s="272"/>
      <c r="AF8" s="272"/>
      <c r="AG8" s="272"/>
      <c r="AH8" s="272" t="s">
        <v>252</v>
      </c>
      <c r="AI8" s="272" t="s">
        <v>252</v>
      </c>
      <c r="AJ8" s="272" t="s">
        <v>252</v>
      </c>
      <c r="AK8" s="272"/>
      <c r="AL8" s="272"/>
      <c r="AM8" s="272"/>
      <c r="AN8" s="272"/>
      <c r="AO8" s="272"/>
      <c r="AP8" s="272"/>
      <c r="AQ8" s="272" t="s">
        <v>252</v>
      </c>
      <c r="AR8" s="272"/>
      <c r="AS8" s="274"/>
      <c r="AT8" s="268" t="e">
        <f t="shared" si="13"/>
        <v>#N/A</v>
      </c>
      <c r="AU8" s="195">
        <f t="shared" si="14"/>
        <v>4</v>
      </c>
      <c r="AV8" s="271">
        <f t="shared" si="15"/>
        <v>0</v>
      </c>
      <c r="AW8" s="269">
        <f t="shared" si="16"/>
        <v>20</v>
      </c>
      <c r="AX8" s="276">
        <f t="shared" si="17"/>
        <v>24</v>
      </c>
      <c r="AY8" s="277"/>
      <c r="AZ8" s="277"/>
      <c r="BA8" s="277"/>
      <c r="BB8" s="277"/>
    </row>
    <row r="9" spans="1:54" s="278" customFormat="1" ht="18.75">
      <c r="A9" s="265">
        <v>5</v>
      </c>
      <c r="B9" s="266">
        <f t="shared" si="0"/>
        <v>0</v>
      </c>
      <c r="C9" s="267">
        <f t="shared" si="1"/>
        <v>0.3680555555555556</v>
      </c>
      <c r="D9" s="267">
        <f t="shared" si="2"/>
        <v>0.2125</v>
      </c>
      <c r="E9" s="267">
        <f t="shared" si="3"/>
        <v>0.6006944444444444</v>
      </c>
      <c r="F9" s="267">
        <f t="shared" si="4"/>
        <v>0.2326388888888889</v>
      </c>
      <c r="G9" s="268">
        <f t="shared" si="5"/>
        <v>29</v>
      </c>
      <c r="H9" s="268">
        <f t="shared" si="6"/>
        <v>3</v>
      </c>
      <c r="I9" s="269">
        <f t="shared" si="7"/>
        <v>32</v>
      </c>
      <c r="J9" s="270">
        <v>13</v>
      </c>
      <c r="K9" s="268">
        <f t="shared" si="8"/>
        <v>0</v>
      </c>
      <c r="L9" s="271">
        <f t="shared" si="9"/>
        <v>0</v>
      </c>
      <c r="M9" s="272"/>
      <c r="N9" s="272"/>
      <c r="O9" s="272"/>
      <c r="P9" s="272"/>
      <c r="Q9" s="272"/>
      <c r="R9" s="272"/>
      <c r="S9" s="272"/>
      <c r="T9" s="272"/>
      <c r="U9" s="272"/>
      <c r="V9" s="272"/>
      <c r="W9" s="272"/>
      <c r="X9" s="272"/>
      <c r="Y9" s="272"/>
      <c r="Z9" s="272"/>
      <c r="AA9" s="274"/>
      <c r="AB9" s="268">
        <f t="shared" si="10"/>
        <v>0</v>
      </c>
      <c r="AC9" s="275">
        <f t="shared" si="11"/>
        <v>0</v>
      </c>
      <c r="AD9" s="269">
        <f t="shared" si="12"/>
        <v>0</v>
      </c>
      <c r="AE9" s="272" t="s">
        <v>252</v>
      </c>
      <c r="AF9" s="272"/>
      <c r="AG9" s="272"/>
      <c r="AH9" s="272" t="s">
        <v>252</v>
      </c>
      <c r="AI9" s="272"/>
      <c r="AJ9" s="272"/>
      <c r="AK9" s="272"/>
      <c r="AL9" s="272"/>
      <c r="AM9" s="272"/>
      <c r="AN9" s="272"/>
      <c r="AO9" s="272"/>
      <c r="AP9" s="272"/>
      <c r="AQ9" s="272" t="s">
        <v>252</v>
      </c>
      <c r="AR9" s="272"/>
      <c r="AS9" s="274"/>
      <c r="AT9" s="268" t="e">
        <f t="shared" si="13"/>
        <v>#N/A</v>
      </c>
      <c r="AU9" s="195">
        <f t="shared" si="14"/>
        <v>3</v>
      </c>
      <c r="AV9" s="271">
        <f t="shared" si="15"/>
        <v>0</v>
      </c>
      <c r="AW9" s="269">
        <f t="shared" si="16"/>
        <v>15</v>
      </c>
      <c r="AX9" s="276">
        <f t="shared" si="17"/>
        <v>47</v>
      </c>
      <c r="AY9" s="277"/>
      <c r="AZ9" s="277"/>
      <c r="BA9" s="277"/>
      <c r="BB9" s="277"/>
    </row>
    <row r="10" spans="1:54" s="278" customFormat="1" ht="18.75">
      <c r="A10" s="265"/>
      <c r="B10" s="266">
        <f t="shared" si="0"/>
        <v>0</v>
      </c>
      <c r="C10" s="267">
        <f t="shared" si="1"/>
        <v>0</v>
      </c>
      <c r="D10" s="267">
        <f t="shared" si="2"/>
        <v>0</v>
      </c>
      <c r="E10" s="267">
        <f t="shared" si="3"/>
        <v>0</v>
      </c>
      <c r="F10" s="267">
        <f t="shared" si="4"/>
        <v>0</v>
      </c>
      <c r="G10" s="268">
        <f t="shared" si="5"/>
        <v>0</v>
      </c>
      <c r="H10" s="268">
        <f t="shared" si="6"/>
        <v>0</v>
      </c>
      <c r="I10" s="269">
        <f t="shared" si="7"/>
        <v>0</v>
      </c>
      <c r="J10" s="270">
        <v>13</v>
      </c>
      <c r="K10" s="268">
        <f t="shared" si="8"/>
        <v>0</v>
      </c>
      <c r="L10" s="271">
        <f t="shared" si="9"/>
        <v>0</v>
      </c>
      <c r="M10" s="272"/>
      <c r="N10" s="272"/>
      <c r="O10" s="272" t="s">
        <v>251</v>
      </c>
      <c r="P10" s="272" t="s">
        <v>251</v>
      </c>
      <c r="Q10" s="272"/>
      <c r="R10" s="272"/>
      <c r="S10" s="272"/>
      <c r="T10" s="272"/>
      <c r="U10" s="272"/>
      <c r="V10" s="272"/>
      <c r="W10" s="272"/>
      <c r="X10" s="272"/>
      <c r="Y10" s="272" t="s">
        <v>251</v>
      </c>
      <c r="Z10" s="272"/>
      <c r="AA10" s="274"/>
      <c r="AB10" s="268">
        <f t="shared" si="10"/>
        <v>0</v>
      </c>
      <c r="AC10" s="275">
        <f t="shared" si="11"/>
        <v>0</v>
      </c>
      <c r="AD10" s="269">
        <f t="shared" si="12"/>
        <v>0</v>
      </c>
      <c r="AE10" s="272" t="s">
        <v>252</v>
      </c>
      <c r="AF10" s="272"/>
      <c r="AG10" s="272"/>
      <c r="AH10" s="272"/>
      <c r="AI10" s="272"/>
      <c r="AJ10" s="272" t="s">
        <v>97</v>
      </c>
      <c r="AK10" s="272" t="s">
        <v>97</v>
      </c>
      <c r="AL10" s="272"/>
      <c r="AM10" s="272"/>
      <c r="AN10" s="272"/>
      <c r="AO10" s="272"/>
      <c r="AP10" s="272"/>
      <c r="AQ10" s="272" t="s">
        <v>252</v>
      </c>
      <c r="AR10" s="272"/>
      <c r="AS10" s="274"/>
      <c r="AT10" s="268" t="e">
        <f t="shared" si="13"/>
        <v>#N/A</v>
      </c>
      <c r="AU10" s="195">
        <f t="shared" si="14"/>
        <v>0</v>
      </c>
      <c r="AV10" s="271">
        <f t="shared" si="15"/>
        <v>0</v>
      </c>
      <c r="AW10" s="269">
        <f t="shared" si="16"/>
        <v>0</v>
      </c>
      <c r="AX10" s="276">
        <f t="shared" si="17"/>
        <v>0</v>
      </c>
      <c r="AY10" s="277"/>
      <c r="AZ10" s="277"/>
      <c r="BA10" s="277"/>
      <c r="BB10" s="277"/>
    </row>
    <row r="11" spans="1:54" s="278" customFormat="1" ht="18.75">
      <c r="A11" s="265">
        <v>7</v>
      </c>
      <c r="B11" s="266">
        <f t="shared" si="0"/>
        <v>0</v>
      </c>
      <c r="C11" s="267">
        <f t="shared" si="1"/>
        <v>0.375</v>
      </c>
      <c r="D11" s="267">
        <f t="shared" si="2"/>
        <v>0.20902777777777778</v>
      </c>
      <c r="E11" s="267">
        <f t="shared" si="3"/>
        <v>0.5840277777777778</v>
      </c>
      <c r="F11" s="267">
        <f t="shared" si="4"/>
        <v>0.20902777777777778</v>
      </c>
      <c r="G11" s="268">
        <f t="shared" si="5"/>
        <v>0</v>
      </c>
      <c r="H11" s="268">
        <f t="shared" si="6"/>
        <v>2</v>
      </c>
      <c r="I11" s="269">
        <f t="shared" si="7"/>
        <v>2</v>
      </c>
      <c r="J11" s="270">
        <v>13</v>
      </c>
      <c r="K11" s="268">
        <f t="shared" si="8"/>
        <v>0</v>
      </c>
      <c r="L11" s="271">
        <f t="shared" si="9"/>
        <v>0</v>
      </c>
      <c r="M11" s="272"/>
      <c r="N11" s="272"/>
      <c r="O11" s="272"/>
      <c r="P11" s="272"/>
      <c r="Q11" s="272"/>
      <c r="R11" s="272"/>
      <c r="S11" s="272"/>
      <c r="T11" s="272"/>
      <c r="U11" s="272"/>
      <c r="V11" s="272"/>
      <c r="W11" s="272"/>
      <c r="X11" s="272"/>
      <c r="Y11" s="272"/>
      <c r="Z11" s="272"/>
      <c r="AA11" s="274"/>
      <c r="AB11" s="268">
        <f t="shared" si="10"/>
        <v>0</v>
      </c>
      <c r="AC11" s="275">
        <f t="shared" si="11"/>
        <v>0</v>
      </c>
      <c r="AD11" s="269">
        <f t="shared" si="12"/>
        <v>0</v>
      </c>
      <c r="AE11" s="272" t="s">
        <v>252</v>
      </c>
      <c r="AF11" s="272"/>
      <c r="AG11" s="272"/>
      <c r="AH11" s="272" t="s">
        <v>252</v>
      </c>
      <c r="AI11" s="272"/>
      <c r="AJ11" s="272" t="s">
        <v>252</v>
      </c>
      <c r="AK11" s="272"/>
      <c r="AL11" s="272"/>
      <c r="AM11" s="272"/>
      <c r="AN11" s="272" t="s">
        <v>252</v>
      </c>
      <c r="AO11" s="272"/>
      <c r="AP11" s="272"/>
      <c r="AQ11" s="272"/>
      <c r="AR11" s="272"/>
      <c r="AS11" s="274"/>
      <c r="AT11" s="268" t="e">
        <f t="shared" si="13"/>
        <v>#N/A</v>
      </c>
      <c r="AU11" s="195">
        <f t="shared" si="14"/>
        <v>4</v>
      </c>
      <c r="AV11" s="271">
        <f t="shared" si="15"/>
        <v>0</v>
      </c>
      <c r="AW11" s="269">
        <f t="shared" si="16"/>
        <v>20</v>
      </c>
      <c r="AX11" s="276">
        <f t="shared" si="17"/>
        <v>22</v>
      </c>
      <c r="AY11" s="277"/>
      <c r="AZ11" s="277"/>
      <c r="BA11" s="277"/>
      <c r="BB11" s="277"/>
    </row>
    <row r="12" spans="1:54" s="278" customFormat="1" ht="36">
      <c r="A12" s="265">
        <v>8</v>
      </c>
      <c r="B12" s="266">
        <f t="shared" si="0"/>
        <v>0</v>
      </c>
      <c r="C12" s="267">
        <f t="shared" si="1"/>
        <v>0.37847222222222227</v>
      </c>
      <c r="D12" s="267">
        <f t="shared" si="2"/>
        <v>0.21666666666666667</v>
      </c>
      <c r="E12" s="267">
        <f t="shared" si="3"/>
        <v>0.5951388888888889</v>
      </c>
      <c r="F12" s="267">
        <f t="shared" si="4"/>
        <v>0.21666666666666667</v>
      </c>
      <c r="G12" s="268">
        <f t="shared" si="5"/>
        <v>0</v>
      </c>
      <c r="H12" s="268">
        <f t="shared" si="6"/>
        <v>9</v>
      </c>
      <c r="I12" s="269">
        <f t="shared" si="7"/>
        <v>9</v>
      </c>
      <c r="J12" s="270">
        <v>13</v>
      </c>
      <c r="K12" s="268">
        <f t="shared" si="8"/>
        <v>0</v>
      </c>
      <c r="L12" s="271">
        <f t="shared" si="9"/>
        <v>0</v>
      </c>
      <c r="M12" s="272"/>
      <c r="N12" s="272"/>
      <c r="O12" s="272"/>
      <c r="P12" s="272"/>
      <c r="Q12" s="272" t="s">
        <v>251</v>
      </c>
      <c r="R12" s="272"/>
      <c r="S12" s="272"/>
      <c r="T12" s="272"/>
      <c r="U12" s="272"/>
      <c r="V12" s="272"/>
      <c r="W12" s="272"/>
      <c r="X12" s="272"/>
      <c r="Y12" s="272"/>
      <c r="Z12" s="272"/>
      <c r="AA12" s="274"/>
      <c r="AB12" s="268">
        <f t="shared" si="10"/>
        <v>1</v>
      </c>
      <c r="AC12" s="275">
        <f t="shared" si="11"/>
        <v>0</v>
      </c>
      <c r="AD12" s="269">
        <f t="shared" si="12"/>
        <v>10</v>
      </c>
      <c r="AE12" s="272" t="s">
        <v>252</v>
      </c>
      <c r="AF12" s="272"/>
      <c r="AG12" s="272"/>
      <c r="AH12" s="272" t="s">
        <v>252</v>
      </c>
      <c r="AI12" s="272"/>
      <c r="AJ12" s="272" t="s">
        <v>252</v>
      </c>
      <c r="AK12" s="272" t="s">
        <v>252</v>
      </c>
      <c r="AL12" s="272"/>
      <c r="AM12" s="272"/>
      <c r="AN12" s="272" t="s">
        <v>252</v>
      </c>
      <c r="AO12" s="272"/>
      <c r="AP12" s="272"/>
      <c r="AQ12" s="272" t="s">
        <v>252</v>
      </c>
      <c r="AR12" s="272"/>
      <c r="AS12" s="274"/>
      <c r="AT12" s="268" t="e">
        <f t="shared" si="13"/>
        <v>#N/A</v>
      </c>
      <c r="AU12" s="195">
        <f t="shared" si="14"/>
        <v>6</v>
      </c>
      <c r="AV12" s="271">
        <f t="shared" si="15"/>
        <v>0</v>
      </c>
      <c r="AW12" s="269">
        <f t="shared" si="16"/>
        <v>30</v>
      </c>
      <c r="AX12" s="276">
        <f t="shared" si="17"/>
        <v>49</v>
      </c>
      <c r="AY12" s="277"/>
      <c r="AZ12" s="277"/>
      <c r="BA12" s="277"/>
      <c r="BB12" s="277"/>
    </row>
    <row r="13" spans="1:54" s="278" customFormat="1" ht="18.75">
      <c r="A13" s="265">
        <v>9</v>
      </c>
      <c r="B13" s="266">
        <f t="shared" si="0"/>
        <v>0</v>
      </c>
      <c r="C13" s="267">
        <f t="shared" si="1"/>
        <v>0.3819444444444445</v>
      </c>
      <c r="D13" s="267">
        <f t="shared" si="2"/>
        <v>0.22361111111111112</v>
      </c>
      <c r="E13" s="267">
        <f t="shared" si="3"/>
        <v>0.6055555555555555</v>
      </c>
      <c r="F13" s="267">
        <f t="shared" si="4"/>
        <v>0.22361111111111112</v>
      </c>
      <c r="G13" s="268">
        <f t="shared" si="5"/>
        <v>0</v>
      </c>
      <c r="H13" s="268">
        <f t="shared" si="6"/>
        <v>19</v>
      </c>
      <c r="I13" s="269">
        <f t="shared" si="7"/>
        <v>19</v>
      </c>
      <c r="J13" s="270">
        <v>13</v>
      </c>
      <c r="K13" s="268">
        <f t="shared" si="8"/>
        <v>0</v>
      </c>
      <c r="L13" s="271">
        <f t="shared" si="9"/>
        <v>0</v>
      </c>
      <c r="M13" s="272"/>
      <c r="N13" s="272"/>
      <c r="O13" s="272"/>
      <c r="P13" s="272"/>
      <c r="Q13" s="272"/>
      <c r="R13" s="272"/>
      <c r="S13" s="272"/>
      <c r="T13" s="272"/>
      <c r="U13" s="272"/>
      <c r="V13" s="272"/>
      <c r="W13" s="272"/>
      <c r="X13" s="272"/>
      <c r="Y13" s="272"/>
      <c r="Z13" s="272"/>
      <c r="AA13" s="274"/>
      <c r="AB13" s="268">
        <f t="shared" si="10"/>
        <v>0</v>
      </c>
      <c r="AC13" s="275">
        <f t="shared" si="11"/>
        <v>0</v>
      </c>
      <c r="AD13" s="269">
        <f t="shared" si="12"/>
        <v>0</v>
      </c>
      <c r="AE13" s="272" t="s">
        <v>252</v>
      </c>
      <c r="AF13" s="272"/>
      <c r="AG13" s="272"/>
      <c r="AH13" s="272" t="s">
        <v>252</v>
      </c>
      <c r="AI13" s="272"/>
      <c r="AJ13" s="272"/>
      <c r="AK13" s="272"/>
      <c r="AL13" s="272"/>
      <c r="AM13" s="272"/>
      <c r="AN13" s="272"/>
      <c r="AO13" s="272"/>
      <c r="AP13" s="272"/>
      <c r="AQ13" s="272"/>
      <c r="AR13" s="272"/>
      <c r="AS13" s="274"/>
      <c r="AT13" s="268" t="e">
        <f t="shared" si="13"/>
        <v>#N/A</v>
      </c>
      <c r="AU13" s="195">
        <f t="shared" si="14"/>
        <v>2</v>
      </c>
      <c r="AV13" s="271">
        <f t="shared" si="15"/>
        <v>0</v>
      </c>
      <c r="AW13" s="269">
        <f t="shared" si="16"/>
        <v>10</v>
      </c>
      <c r="AX13" s="276">
        <f t="shared" si="17"/>
        <v>29</v>
      </c>
      <c r="AY13" s="277"/>
      <c r="AZ13" s="277"/>
      <c r="BA13" s="277"/>
      <c r="BB13" s="277"/>
    </row>
    <row r="14" spans="1:54" s="278" customFormat="1" ht="18.75">
      <c r="A14" s="265">
        <v>10</v>
      </c>
      <c r="B14" s="266">
        <f t="shared" si="0"/>
        <v>0</v>
      </c>
      <c r="C14" s="267">
        <f t="shared" si="1"/>
        <v>0.3854166666666667</v>
      </c>
      <c r="D14" s="267">
        <f t="shared" si="2"/>
        <v>0.22916666666666666</v>
      </c>
      <c r="E14" s="267">
        <f t="shared" si="3"/>
        <v>0.6236111111111111</v>
      </c>
      <c r="F14" s="267">
        <f t="shared" si="4"/>
        <v>0.23819444444444443</v>
      </c>
      <c r="G14" s="268">
        <f t="shared" si="5"/>
        <v>13</v>
      </c>
      <c r="H14" s="268">
        <f t="shared" si="6"/>
        <v>27</v>
      </c>
      <c r="I14" s="269">
        <f t="shared" si="7"/>
        <v>40</v>
      </c>
      <c r="J14" s="270">
        <v>13</v>
      </c>
      <c r="K14" s="268">
        <f t="shared" si="8"/>
        <v>0</v>
      </c>
      <c r="L14" s="271">
        <f t="shared" si="9"/>
        <v>0</v>
      </c>
      <c r="M14" s="272"/>
      <c r="N14" s="272"/>
      <c r="O14" s="272"/>
      <c r="P14" s="272" t="s">
        <v>251</v>
      </c>
      <c r="Q14" s="272"/>
      <c r="R14" s="272"/>
      <c r="S14" s="272"/>
      <c r="T14" s="272"/>
      <c r="U14" s="272"/>
      <c r="V14" s="272"/>
      <c r="W14" s="272"/>
      <c r="X14" s="272"/>
      <c r="Y14" s="272"/>
      <c r="Z14" s="272"/>
      <c r="AA14" s="274"/>
      <c r="AB14" s="268">
        <f t="shared" si="10"/>
        <v>1</v>
      </c>
      <c r="AC14" s="275">
        <f t="shared" si="11"/>
        <v>0</v>
      </c>
      <c r="AD14" s="269">
        <f t="shared" si="12"/>
        <v>10</v>
      </c>
      <c r="AE14" s="272" t="s">
        <v>252</v>
      </c>
      <c r="AF14" s="272"/>
      <c r="AG14" s="272"/>
      <c r="AH14" s="272"/>
      <c r="AI14" s="272"/>
      <c r="AJ14" s="272" t="s">
        <v>252</v>
      </c>
      <c r="AK14" s="272"/>
      <c r="AL14" s="272"/>
      <c r="AM14" s="272"/>
      <c r="AN14" s="272" t="s">
        <v>252</v>
      </c>
      <c r="AO14" s="272"/>
      <c r="AP14" s="272"/>
      <c r="AQ14" s="272" t="s">
        <v>252</v>
      </c>
      <c r="AR14" s="272"/>
      <c r="AS14" s="274"/>
      <c r="AT14" s="268" t="e">
        <f t="shared" si="13"/>
        <v>#N/A</v>
      </c>
      <c r="AU14" s="195">
        <f t="shared" si="14"/>
        <v>4</v>
      </c>
      <c r="AV14" s="271">
        <f t="shared" si="15"/>
        <v>0</v>
      </c>
      <c r="AW14" s="269">
        <f t="shared" si="16"/>
        <v>20</v>
      </c>
      <c r="AX14" s="276">
        <f t="shared" si="17"/>
        <v>70</v>
      </c>
      <c r="AY14" s="277"/>
      <c r="AZ14" s="277"/>
      <c r="BA14" s="277"/>
      <c r="BB14" s="277"/>
    </row>
    <row r="15" spans="1:54" s="278" customFormat="1" ht="18.75">
      <c r="A15" s="265">
        <v>11</v>
      </c>
      <c r="B15" s="266">
        <f t="shared" si="0"/>
        <v>0</v>
      </c>
      <c r="C15" s="267">
        <f t="shared" si="1"/>
        <v>0.3888888888888889</v>
      </c>
      <c r="D15" s="267">
        <f t="shared" si="2"/>
        <v>0.2222222222222222</v>
      </c>
      <c r="E15" s="267">
        <f t="shared" si="3"/>
        <v>0.6111111111111112</v>
      </c>
      <c r="F15" s="267">
        <f t="shared" si="4"/>
        <v>0.2222222222222222</v>
      </c>
      <c r="G15" s="268">
        <f t="shared" si="5"/>
        <v>0</v>
      </c>
      <c r="H15" s="268">
        <f t="shared" si="6"/>
        <v>17</v>
      </c>
      <c r="I15" s="269">
        <f t="shared" si="7"/>
        <v>17</v>
      </c>
      <c r="J15" s="270">
        <v>13</v>
      </c>
      <c r="K15" s="268">
        <f t="shared" si="8"/>
        <v>0</v>
      </c>
      <c r="L15" s="271">
        <f t="shared" si="9"/>
        <v>0</v>
      </c>
      <c r="M15" s="272"/>
      <c r="N15" s="272" t="s">
        <v>251</v>
      </c>
      <c r="O15" s="272"/>
      <c r="P15" s="272" t="s">
        <v>251</v>
      </c>
      <c r="Q15" s="272"/>
      <c r="R15" s="272"/>
      <c r="S15" s="272"/>
      <c r="T15" s="272" t="s">
        <v>251</v>
      </c>
      <c r="U15" s="272" t="s">
        <v>251</v>
      </c>
      <c r="V15" s="272"/>
      <c r="W15" s="272"/>
      <c r="X15" s="272"/>
      <c r="Y15" s="272"/>
      <c r="Z15" s="272"/>
      <c r="AA15" s="274"/>
      <c r="AB15" s="268">
        <f t="shared" si="10"/>
        <v>4</v>
      </c>
      <c r="AC15" s="275">
        <f t="shared" si="11"/>
        <v>0</v>
      </c>
      <c r="AD15" s="269">
        <f t="shared" si="12"/>
        <v>40</v>
      </c>
      <c r="AE15" s="272" t="s">
        <v>252</v>
      </c>
      <c r="AF15" s="272"/>
      <c r="AG15" s="272"/>
      <c r="AH15" s="272" t="s">
        <v>252</v>
      </c>
      <c r="AI15" s="272" t="s">
        <v>252</v>
      </c>
      <c r="AJ15" s="272" t="s">
        <v>252</v>
      </c>
      <c r="AK15" s="272"/>
      <c r="AL15" s="272"/>
      <c r="AM15" s="272"/>
      <c r="AN15" s="272"/>
      <c r="AO15" s="272"/>
      <c r="AP15" s="272" t="s">
        <v>252</v>
      </c>
      <c r="AQ15" s="272" t="s">
        <v>252</v>
      </c>
      <c r="AR15" s="272"/>
      <c r="AS15" s="274"/>
      <c r="AT15" s="268" t="e">
        <f t="shared" si="13"/>
        <v>#N/A</v>
      </c>
      <c r="AU15" s="195">
        <f t="shared" si="14"/>
        <v>6</v>
      </c>
      <c r="AV15" s="271">
        <f t="shared" si="15"/>
        <v>0</v>
      </c>
      <c r="AW15" s="269">
        <f t="shared" si="16"/>
        <v>30</v>
      </c>
      <c r="AX15" s="276">
        <f t="shared" si="17"/>
        <v>87</v>
      </c>
      <c r="AY15" s="277"/>
      <c r="AZ15" s="277"/>
      <c r="BA15" s="277"/>
      <c r="BB15" s="277"/>
    </row>
    <row r="16" spans="1:54" s="278" customFormat="1" ht="18.75">
      <c r="A16" s="265">
        <v>12</v>
      </c>
      <c r="B16" s="266">
        <f t="shared" si="0"/>
        <v>0</v>
      </c>
      <c r="C16" s="267">
        <f t="shared" si="1"/>
        <v>0.39236111111111116</v>
      </c>
      <c r="D16" s="267">
        <f t="shared" si="2"/>
        <v>0.20972222222222223</v>
      </c>
      <c r="E16" s="267">
        <f t="shared" si="3"/>
        <v>0.6104166666666667</v>
      </c>
      <c r="F16" s="267">
        <f t="shared" si="4"/>
        <v>0.21805555555555556</v>
      </c>
      <c r="G16" s="268">
        <f t="shared" si="5"/>
        <v>12</v>
      </c>
      <c r="H16" s="268">
        <f t="shared" si="6"/>
        <v>1</v>
      </c>
      <c r="I16" s="269">
        <f t="shared" si="7"/>
        <v>13</v>
      </c>
      <c r="J16" s="270">
        <v>13</v>
      </c>
      <c r="K16" s="268">
        <f t="shared" si="8"/>
        <v>0</v>
      </c>
      <c r="L16" s="271">
        <f t="shared" si="9"/>
        <v>0</v>
      </c>
      <c r="M16" s="272"/>
      <c r="N16" s="272"/>
      <c r="O16" s="272"/>
      <c r="P16" s="272"/>
      <c r="Q16" s="272"/>
      <c r="R16" s="272"/>
      <c r="S16" s="272"/>
      <c r="T16" s="272"/>
      <c r="U16" s="272"/>
      <c r="V16" s="272"/>
      <c r="W16" s="272"/>
      <c r="X16" s="272" t="s">
        <v>251</v>
      </c>
      <c r="Y16" s="272"/>
      <c r="Z16" s="272"/>
      <c r="AA16" s="274"/>
      <c r="AB16" s="268">
        <f t="shared" si="10"/>
        <v>1</v>
      </c>
      <c r="AC16" s="275">
        <f t="shared" si="11"/>
        <v>0</v>
      </c>
      <c r="AD16" s="269">
        <f t="shared" si="12"/>
        <v>10</v>
      </c>
      <c r="AE16" s="272" t="s">
        <v>252</v>
      </c>
      <c r="AF16" s="272"/>
      <c r="AG16" s="272"/>
      <c r="AH16" s="272"/>
      <c r="AI16" s="272"/>
      <c r="AJ16" s="272" t="s">
        <v>252</v>
      </c>
      <c r="AK16" s="272" t="s">
        <v>252</v>
      </c>
      <c r="AL16" s="272"/>
      <c r="AM16" s="272"/>
      <c r="AN16" s="272"/>
      <c r="AO16" s="272"/>
      <c r="AP16" s="272"/>
      <c r="AQ16" s="272" t="s">
        <v>252</v>
      </c>
      <c r="AR16" s="272"/>
      <c r="AS16" s="274"/>
      <c r="AT16" s="268" t="e">
        <f t="shared" si="13"/>
        <v>#N/A</v>
      </c>
      <c r="AU16" s="195">
        <f t="shared" si="14"/>
        <v>4</v>
      </c>
      <c r="AV16" s="271">
        <f t="shared" si="15"/>
        <v>0</v>
      </c>
      <c r="AW16" s="269">
        <f t="shared" si="16"/>
        <v>20</v>
      </c>
      <c r="AX16" s="276">
        <f t="shared" si="17"/>
        <v>43</v>
      </c>
      <c r="AY16" s="277"/>
      <c r="AZ16" s="277"/>
      <c r="BA16" s="277"/>
      <c r="BB16" s="277"/>
    </row>
    <row r="17" spans="1:54" s="278" customFormat="1" ht="18.75">
      <c r="A17" s="265">
        <v>13</v>
      </c>
      <c r="B17" s="266">
        <f t="shared" si="0"/>
        <v>0</v>
      </c>
      <c r="C17" s="267">
        <f t="shared" si="1"/>
        <v>0.39583333333333337</v>
      </c>
      <c r="D17" s="267">
        <f t="shared" si="2"/>
        <v>0.2152777777777778</v>
      </c>
      <c r="E17" s="267">
        <f t="shared" si="3"/>
        <v>0.6111111111111112</v>
      </c>
      <c r="F17" s="267">
        <f t="shared" si="4"/>
        <v>0.2152777777777778</v>
      </c>
      <c r="G17" s="268">
        <f t="shared" si="5"/>
        <v>0</v>
      </c>
      <c r="H17" s="268">
        <f t="shared" si="6"/>
        <v>7</v>
      </c>
      <c r="I17" s="269">
        <f t="shared" si="7"/>
        <v>7</v>
      </c>
      <c r="J17" s="270">
        <v>13</v>
      </c>
      <c r="K17" s="268">
        <f t="shared" si="8"/>
        <v>0</v>
      </c>
      <c r="L17" s="271">
        <f t="shared" si="9"/>
        <v>0</v>
      </c>
      <c r="M17" s="272"/>
      <c r="N17" s="272"/>
      <c r="O17" s="272"/>
      <c r="P17" s="272"/>
      <c r="Q17" s="272"/>
      <c r="R17" s="272"/>
      <c r="S17" s="272"/>
      <c r="T17" s="272"/>
      <c r="U17" s="272"/>
      <c r="V17" s="272"/>
      <c r="W17" s="272"/>
      <c r="X17" s="272"/>
      <c r="Y17" s="272"/>
      <c r="Z17" s="272"/>
      <c r="AA17" s="274"/>
      <c r="AB17" s="268">
        <f t="shared" si="10"/>
        <v>0</v>
      </c>
      <c r="AC17" s="275">
        <f t="shared" si="11"/>
        <v>0</v>
      </c>
      <c r="AD17" s="269">
        <f t="shared" si="12"/>
        <v>0</v>
      </c>
      <c r="AE17" s="272" t="s">
        <v>252</v>
      </c>
      <c r="AF17" s="272"/>
      <c r="AG17" s="272"/>
      <c r="AH17" s="272"/>
      <c r="AI17" s="272"/>
      <c r="AJ17" s="272" t="s">
        <v>252</v>
      </c>
      <c r="AK17" s="272"/>
      <c r="AL17" s="272"/>
      <c r="AM17" s="272"/>
      <c r="AN17" s="272" t="s">
        <v>252</v>
      </c>
      <c r="AO17" s="272"/>
      <c r="AP17" s="272"/>
      <c r="AQ17" s="272" t="s">
        <v>252</v>
      </c>
      <c r="AR17" s="272"/>
      <c r="AS17" s="274"/>
      <c r="AT17" s="268" t="e">
        <f t="shared" si="13"/>
        <v>#N/A</v>
      </c>
      <c r="AU17" s="195">
        <f t="shared" si="14"/>
        <v>4</v>
      </c>
      <c r="AV17" s="271">
        <f t="shared" si="15"/>
        <v>0</v>
      </c>
      <c r="AW17" s="269">
        <f t="shared" si="16"/>
        <v>20</v>
      </c>
      <c r="AX17" s="276">
        <f t="shared" si="17"/>
        <v>27</v>
      </c>
      <c r="AY17" s="277"/>
      <c r="AZ17" s="277"/>
      <c r="BA17" s="277"/>
      <c r="BB17" s="277"/>
    </row>
    <row r="18" spans="1:54" s="278" customFormat="1" ht="18.75">
      <c r="A18" s="265">
        <v>14</v>
      </c>
      <c r="B18" s="266">
        <f t="shared" si="0"/>
        <v>0</v>
      </c>
      <c r="C18" s="267">
        <f t="shared" si="1"/>
        <v>0.3993055555555556</v>
      </c>
      <c r="D18" s="267">
        <f t="shared" si="2"/>
        <v>0.20902777777777778</v>
      </c>
      <c r="E18" s="267">
        <f t="shared" si="3"/>
        <v>0.6083333333333333</v>
      </c>
      <c r="F18" s="267">
        <f t="shared" si="4"/>
        <v>0.20902777777777778</v>
      </c>
      <c r="G18" s="268">
        <f t="shared" si="5"/>
        <v>0</v>
      </c>
      <c r="H18" s="268">
        <f t="shared" si="6"/>
        <v>2</v>
      </c>
      <c r="I18" s="269">
        <f t="shared" si="7"/>
        <v>2</v>
      </c>
      <c r="J18" s="270">
        <v>13</v>
      </c>
      <c r="K18" s="268">
        <f t="shared" si="8"/>
        <v>0</v>
      </c>
      <c r="L18" s="271">
        <f t="shared" si="9"/>
        <v>0</v>
      </c>
      <c r="M18" s="272"/>
      <c r="N18" s="272"/>
      <c r="O18" s="272"/>
      <c r="P18" s="272"/>
      <c r="Q18" s="272"/>
      <c r="R18" s="272"/>
      <c r="S18" s="272"/>
      <c r="T18" s="272"/>
      <c r="U18" s="272"/>
      <c r="V18" s="272"/>
      <c r="W18" s="272"/>
      <c r="X18" s="272"/>
      <c r="Y18" s="272"/>
      <c r="Z18" s="272"/>
      <c r="AA18" s="274"/>
      <c r="AB18" s="268">
        <f t="shared" si="10"/>
        <v>0</v>
      </c>
      <c r="AC18" s="275">
        <f t="shared" si="11"/>
        <v>0</v>
      </c>
      <c r="AD18" s="269">
        <f t="shared" si="12"/>
        <v>0</v>
      </c>
      <c r="AE18" s="272" t="s">
        <v>252</v>
      </c>
      <c r="AF18" s="272"/>
      <c r="AG18" s="272"/>
      <c r="AH18" s="272"/>
      <c r="AI18" s="272"/>
      <c r="AJ18" s="272"/>
      <c r="AK18" s="272"/>
      <c r="AL18" s="272"/>
      <c r="AM18" s="272"/>
      <c r="AN18" s="272"/>
      <c r="AO18" s="272"/>
      <c r="AP18" s="272"/>
      <c r="AQ18" s="272" t="s">
        <v>252</v>
      </c>
      <c r="AR18" s="272"/>
      <c r="AS18" s="274"/>
      <c r="AT18" s="268" t="e">
        <f t="shared" si="13"/>
        <v>#N/A</v>
      </c>
      <c r="AU18" s="195">
        <f t="shared" si="14"/>
        <v>2</v>
      </c>
      <c r="AV18" s="271">
        <f t="shared" si="15"/>
        <v>0</v>
      </c>
      <c r="AW18" s="269">
        <f t="shared" si="16"/>
        <v>10</v>
      </c>
      <c r="AX18" s="276">
        <f t="shared" si="17"/>
        <v>12</v>
      </c>
      <c r="AY18" s="277"/>
      <c r="AZ18" s="277"/>
      <c r="BA18" s="277"/>
      <c r="BB18" s="277"/>
    </row>
    <row r="19" spans="1:54" s="278" customFormat="1" ht="18.75">
      <c r="A19" s="265"/>
      <c r="B19" s="266">
        <f t="shared" si="0"/>
        <v>0</v>
      </c>
      <c r="C19" s="267">
        <f t="shared" si="1"/>
        <v>0</v>
      </c>
      <c r="D19" s="267">
        <f t="shared" si="2"/>
        <v>0</v>
      </c>
      <c r="E19" s="267">
        <f t="shared" si="3"/>
        <v>0</v>
      </c>
      <c r="F19" s="267">
        <f t="shared" si="4"/>
        <v>0</v>
      </c>
      <c r="G19" s="268">
        <f t="shared" si="5"/>
        <v>0</v>
      </c>
      <c r="H19" s="268">
        <f t="shared" si="6"/>
        <v>0</v>
      </c>
      <c r="I19" s="269">
        <f t="shared" si="7"/>
        <v>0</v>
      </c>
      <c r="J19" s="270"/>
      <c r="K19" s="268">
        <f t="shared" si="8"/>
        <v>0</v>
      </c>
      <c r="L19" s="271">
        <f t="shared" si="9"/>
        <v>0</v>
      </c>
      <c r="M19" s="272"/>
      <c r="N19" s="272"/>
      <c r="O19" s="272"/>
      <c r="P19" s="272"/>
      <c r="Q19" s="272"/>
      <c r="R19" s="272"/>
      <c r="S19" s="272"/>
      <c r="T19" s="272"/>
      <c r="U19" s="272"/>
      <c r="V19" s="272"/>
      <c r="W19" s="272"/>
      <c r="X19" s="272"/>
      <c r="Y19" s="272"/>
      <c r="Z19" s="272"/>
      <c r="AA19" s="274"/>
      <c r="AB19" s="268">
        <f t="shared" si="10"/>
        <v>0</v>
      </c>
      <c r="AC19" s="275">
        <f t="shared" si="11"/>
        <v>0</v>
      </c>
      <c r="AD19" s="269">
        <f t="shared" si="12"/>
        <v>0</v>
      </c>
      <c r="AE19" s="272"/>
      <c r="AF19" s="272"/>
      <c r="AG19" s="272"/>
      <c r="AH19" s="272"/>
      <c r="AI19" s="272"/>
      <c r="AJ19" s="272"/>
      <c r="AK19" s="272"/>
      <c r="AL19" s="272"/>
      <c r="AM19" s="272"/>
      <c r="AN19" s="272"/>
      <c r="AO19" s="272"/>
      <c r="AP19" s="272"/>
      <c r="AQ19" s="272"/>
      <c r="AR19" s="272"/>
      <c r="AS19" s="274"/>
      <c r="AT19" s="268" t="e">
        <f t="shared" si="13"/>
        <v>#N/A</v>
      </c>
      <c r="AU19" s="195">
        <f t="shared" si="14"/>
        <v>0</v>
      </c>
      <c r="AV19" s="271">
        <f t="shared" si="15"/>
        <v>0</v>
      </c>
      <c r="AW19" s="269">
        <f t="shared" si="16"/>
        <v>0</v>
      </c>
      <c r="AX19" s="276">
        <f t="shared" si="17"/>
        <v>0</v>
      </c>
      <c r="AY19" s="277"/>
      <c r="AZ19" s="277"/>
      <c r="BA19" s="277"/>
      <c r="BB19" s="277"/>
    </row>
    <row r="20" spans="1:54" s="278" customFormat="1" ht="18.75">
      <c r="A20" s="265"/>
      <c r="B20" s="266">
        <f t="shared" si="0"/>
        <v>0</v>
      </c>
      <c r="C20" s="267">
        <f t="shared" si="1"/>
        <v>0</v>
      </c>
      <c r="D20" s="267">
        <f t="shared" si="2"/>
        <v>0</v>
      </c>
      <c r="E20" s="267">
        <f t="shared" si="3"/>
        <v>0</v>
      </c>
      <c r="F20" s="267">
        <f t="shared" si="4"/>
        <v>0</v>
      </c>
      <c r="G20" s="268">
        <f t="shared" si="5"/>
        <v>0</v>
      </c>
      <c r="H20" s="268">
        <f t="shared" si="6"/>
        <v>0</v>
      </c>
      <c r="I20" s="269">
        <f t="shared" si="7"/>
        <v>0</v>
      </c>
      <c r="J20" s="270"/>
      <c r="K20" s="268">
        <f t="shared" si="8"/>
        <v>0</v>
      </c>
      <c r="L20" s="271">
        <f t="shared" si="9"/>
        <v>0</v>
      </c>
      <c r="M20" s="272"/>
      <c r="N20" s="272"/>
      <c r="O20" s="272"/>
      <c r="P20" s="272"/>
      <c r="Q20" s="272"/>
      <c r="R20" s="272"/>
      <c r="S20" s="272"/>
      <c r="T20" s="272"/>
      <c r="U20" s="272"/>
      <c r="V20" s="272"/>
      <c r="W20" s="272"/>
      <c r="X20" s="272"/>
      <c r="Y20" s="272"/>
      <c r="Z20" s="272"/>
      <c r="AA20" s="274"/>
      <c r="AB20" s="268">
        <f t="shared" si="10"/>
        <v>0</v>
      </c>
      <c r="AC20" s="275">
        <f t="shared" si="11"/>
        <v>0</v>
      </c>
      <c r="AD20" s="269">
        <f t="shared" si="12"/>
        <v>0</v>
      </c>
      <c r="AE20" s="272"/>
      <c r="AF20" s="272"/>
      <c r="AG20" s="272"/>
      <c r="AH20" s="272"/>
      <c r="AI20" s="272"/>
      <c r="AJ20" s="272"/>
      <c r="AK20" s="272"/>
      <c r="AL20" s="272"/>
      <c r="AM20" s="272"/>
      <c r="AN20" s="272"/>
      <c r="AO20" s="272"/>
      <c r="AP20" s="272"/>
      <c r="AQ20" s="272"/>
      <c r="AR20" s="272"/>
      <c r="AS20" s="274"/>
      <c r="AT20" s="268" t="e">
        <f t="shared" si="13"/>
        <v>#N/A</v>
      </c>
      <c r="AU20" s="195">
        <f t="shared" si="14"/>
        <v>0</v>
      </c>
      <c r="AV20" s="271">
        <f t="shared" si="15"/>
        <v>0</v>
      </c>
      <c r="AW20" s="269">
        <f t="shared" si="16"/>
        <v>0</v>
      </c>
      <c r="AX20" s="276">
        <f t="shared" si="17"/>
        <v>0</v>
      </c>
      <c r="AY20" s="277"/>
      <c r="AZ20" s="277"/>
      <c r="BA20" s="277"/>
      <c r="BB20" s="277"/>
    </row>
    <row r="21" spans="1:54" s="278" customFormat="1" ht="18.75">
      <c r="A21" s="265"/>
      <c r="B21" s="266">
        <f t="shared" si="0"/>
        <v>0</v>
      </c>
      <c r="C21" s="267">
        <f t="shared" si="1"/>
        <v>0</v>
      </c>
      <c r="D21" s="267">
        <f t="shared" si="2"/>
        <v>0</v>
      </c>
      <c r="E21" s="267">
        <f t="shared" si="3"/>
        <v>0</v>
      </c>
      <c r="F21" s="267">
        <f t="shared" si="4"/>
        <v>0</v>
      </c>
      <c r="G21" s="268">
        <f t="shared" si="5"/>
        <v>0</v>
      </c>
      <c r="H21" s="268">
        <f t="shared" si="6"/>
        <v>0</v>
      </c>
      <c r="I21" s="269">
        <f t="shared" si="7"/>
        <v>0</v>
      </c>
      <c r="J21" s="279"/>
      <c r="K21" s="268">
        <f t="shared" si="8"/>
        <v>0</v>
      </c>
      <c r="L21" s="271">
        <f t="shared" si="9"/>
        <v>0</v>
      </c>
      <c r="M21" s="274"/>
      <c r="N21" s="274"/>
      <c r="O21" s="274"/>
      <c r="P21" s="274"/>
      <c r="Q21" s="274"/>
      <c r="R21" s="274"/>
      <c r="S21" s="274"/>
      <c r="T21" s="274"/>
      <c r="U21" s="274"/>
      <c r="V21" s="274"/>
      <c r="W21" s="274"/>
      <c r="X21" s="274"/>
      <c r="Y21" s="274"/>
      <c r="Z21" s="280"/>
      <c r="AA21" s="274"/>
      <c r="AB21" s="268">
        <f t="shared" si="10"/>
        <v>0</v>
      </c>
      <c r="AC21" s="275">
        <f t="shared" si="11"/>
        <v>0</v>
      </c>
      <c r="AD21" s="269">
        <f t="shared" si="12"/>
        <v>0</v>
      </c>
      <c r="AE21" s="274"/>
      <c r="AF21" s="274"/>
      <c r="AG21" s="274"/>
      <c r="AH21" s="274"/>
      <c r="AI21" s="274"/>
      <c r="AJ21" s="274"/>
      <c r="AK21" s="274"/>
      <c r="AL21" s="274"/>
      <c r="AM21" s="274"/>
      <c r="AN21" s="274"/>
      <c r="AO21" s="274"/>
      <c r="AP21" s="274"/>
      <c r="AQ21" s="274"/>
      <c r="AR21" s="274"/>
      <c r="AS21" s="274"/>
      <c r="AT21" s="268" t="e">
        <f t="shared" si="13"/>
        <v>#N/A</v>
      </c>
      <c r="AU21" s="195">
        <f t="shared" si="14"/>
        <v>0</v>
      </c>
      <c r="AV21" s="271">
        <f t="shared" si="15"/>
        <v>0</v>
      </c>
      <c r="AW21" s="269">
        <f t="shared" si="16"/>
        <v>0</v>
      </c>
      <c r="AX21" s="276">
        <f t="shared" si="17"/>
        <v>0</v>
      </c>
      <c r="AY21" s="277"/>
      <c r="AZ21" s="277"/>
      <c r="BA21" s="277"/>
      <c r="BB21" s="277"/>
    </row>
    <row r="22" spans="1:54" s="278" customFormat="1" ht="18.75">
      <c r="A22" s="265"/>
      <c r="B22" s="266">
        <f t="shared" si="0"/>
        <v>0</v>
      </c>
      <c r="C22" s="267">
        <f t="shared" si="1"/>
        <v>0</v>
      </c>
      <c r="D22" s="267">
        <f t="shared" si="2"/>
        <v>0</v>
      </c>
      <c r="E22" s="267">
        <f t="shared" si="3"/>
        <v>0</v>
      </c>
      <c r="F22" s="267">
        <f t="shared" si="4"/>
        <v>0</v>
      </c>
      <c r="G22" s="268">
        <f t="shared" si="5"/>
        <v>0</v>
      </c>
      <c r="H22" s="268">
        <f t="shared" si="6"/>
        <v>0</v>
      </c>
      <c r="I22" s="269">
        <f t="shared" si="7"/>
        <v>0</v>
      </c>
      <c r="J22" s="279"/>
      <c r="K22" s="268">
        <f t="shared" si="8"/>
        <v>0</v>
      </c>
      <c r="L22" s="271">
        <f t="shared" si="9"/>
        <v>0</v>
      </c>
      <c r="M22" s="274"/>
      <c r="N22" s="274"/>
      <c r="O22" s="274"/>
      <c r="P22" s="274"/>
      <c r="Q22" s="274"/>
      <c r="R22" s="274"/>
      <c r="S22" s="274"/>
      <c r="T22" s="274"/>
      <c r="U22" s="274"/>
      <c r="V22" s="274"/>
      <c r="W22" s="274"/>
      <c r="X22" s="274"/>
      <c r="Y22" s="274"/>
      <c r="Z22" s="280"/>
      <c r="AA22" s="274"/>
      <c r="AB22" s="268">
        <f t="shared" si="10"/>
        <v>0</v>
      </c>
      <c r="AC22" s="275">
        <f t="shared" si="11"/>
        <v>0</v>
      </c>
      <c r="AD22" s="269">
        <f t="shared" si="12"/>
        <v>0</v>
      </c>
      <c r="AE22" s="274"/>
      <c r="AF22" s="274"/>
      <c r="AG22" s="274"/>
      <c r="AH22" s="274"/>
      <c r="AI22" s="274"/>
      <c r="AJ22" s="274"/>
      <c r="AK22" s="274"/>
      <c r="AL22" s="274"/>
      <c r="AM22" s="274"/>
      <c r="AN22" s="274"/>
      <c r="AO22" s="274"/>
      <c r="AP22" s="274"/>
      <c r="AQ22" s="274"/>
      <c r="AR22" s="274"/>
      <c r="AS22" s="274"/>
      <c r="AT22" s="268" t="e">
        <f t="shared" si="13"/>
        <v>#N/A</v>
      </c>
      <c r="AU22" s="195">
        <f t="shared" si="14"/>
        <v>0</v>
      </c>
      <c r="AV22" s="271">
        <f t="shared" si="15"/>
        <v>0</v>
      </c>
      <c r="AW22" s="269">
        <f t="shared" si="16"/>
        <v>0</v>
      </c>
      <c r="AX22" s="276">
        <f t="shared" si="17"/>
        <v>0</v>
      </c>
      <c r="AY22" s="277"/>
      <c r="AZ22" s="277"/>
      <c r="BA22" s="277"/>
      <c r="BB22" s="277"/>
    </row>
    <row r="23" spans="1:54" s="278" customFormat="1" ht="18.75">
      <c r="A23" s="265"/>
      <c r="B23" s="266">
        <f t="shared" si="0"/>
        <v>0</v>
      </c>
      <c r="C23" s="267">
        <f t="shared" si="1"/>
        <v>0</v>
      </c>
      <c r="D23" s="267">
        <f t="shared" si="2"/>
        <v>0</v>
      </c>
      <c r="E23" s="267">
        <f t="shared" si="3"/>
        <v>0</v>
      </c>
      <c r="F23" s="267">
        <f t="shared" si="4"/>
        <v>0</v>
      </c>
      <c r="G23" s="268">
        <f t="shared" si="5"/>
        <v>0</v>
      </c>
      <c r="H23" s="268">
        <f t="shared" si="6"/>
        <v>0</v>
      </c>
      <c r="I23" s="269">
        <f t="shared" si="7"/>
        <v>0</v>
      </c>
      <c r="J23" s="279"/>
      <c r="K23" s="268">
        <f t="shared" si="8"/>
        <v>0</v>
      </c>
      <c r="L23" s="271">
        <f t="shared" si="9"/>
        <v>0</v>
      </c>
      <c r="M23" s="274"/>
      <c r="N23" s="274"/>
      <c r="O23" s="274"/>
      <c r="P23" s="274"/>
      <c r="Q23" s="274"/>
      <c r="R23" s="274"/>
      <c r="S23" s="274"/>
      <c r="T23" s="274"/>
      <c r="U23" s="274"/>
      <c r="V23" s="274"/>
      <c r="W23" s="274"/>
      <c r="X23" s="274"/>
      <c r="Y23" s="274"/>
      <c r="Z23" s="280"/>
      <c r="AA23" s="274"/>
      <c r="AB23" s="268">
        <f t="shared" si="10"/>
        <v>0</v>
      </c>
      <c r="AC23" s="275">
        <f t="shared" si="11"/>
        <v>0</v>
      </c>
      <c r="AD23" s="269">
        <f t="shared" si="12"/>
        <v>0</v>
      </c>
      <c r="AE23" s="274"/>
      <c r="AF23" s="274"/>
      <c r="AG23" s="274"/>
      <c r="AH23" s="274"/>
      <c r="AI23" s="274"/>
      <c r="AJ23" s="274"/>
      <c r="AK23" s="274"/>
      <c r="AL23" s="274"/>
      <c r="AM23" s="274"/>
      <c r="AN23" s="274"/>
      <c r="AO23" s="274"/>
      <c r="AP23" s="274"/>
      <c r="AQ23" s="274"/>
      <c r="AR23" s="274"/>
      <c r="AS23" s="274"/>
      <c r="AT23" s="268" t="e">
        <f t="shared" si="13"/>
        <v>#N/A</v>
      </c>
      <c r="AU23" s="195">
        <f t="shared" si="14"/>
        <v>0</v>
      </c>
      <c r="AV23" s="271">
        <f t="shared" si="15"/>
        <v>0</v>
      </c>
      <c r="AW23" s="269">
        <f t="shared" si="16"/>
        <v>0</v>
      </c>
      <c r="AX23" s="276">
        <f t="shared" si="17"/>
        <v>0</v>
      </c>
      <c r="AY23" s="277"/>
      <c r="AZ23" s="277"/>
      <c r="BA23" s="277"/>
      <c r="BB23" s="277"/>
    </row>
    <row r="24" spans="1:54" s="278" customFormat="1" ht="18.75">
      <c r="A24" s="265"/>
      <c r="B24" s="266">
        <f t="shared" si="0"/>
        <v>0</v>
      </c>
      <c r="C24" s="267">
        <f t="shared" si="1"/>
        <v>0</v>
      </c>
      <c r="D24" s="267">
        <f t="shared" si="2"/>
        <v>0</v>
      </c>
      <c r="E24" s="267">
        <f t="shared" si="3"/>
        <v>0</v>
      </c>
      <c r="F24" s="267">
        <f t="shared" si="4"/>
        <v>0</v>
      </c>
      <c r="G24" s="268">
        <f t="shared" si="5"/>
        <v>0</v>
      </c>
      <c r="H24" s="268">
        <f t="shared" si="6"/>
        <v>0</v>
      </c>
      <c r="I24" s="269">
        <f t="shared" si="7"/>
        <v>0</v>
      </c>
      <c r="J24" s="279"/>
      <c r="K24" s="268">
        <f t="shared" si="8"/>
        <v>0</v>
      </c>
      <c r="L24" s="271">
        <f t="shared" si="9"/>
        <v>0</v>
      </c>
      <c r="M24" s="274"/>
      <c r="N24" s="274"/>
      <c r="O24" s="274"/>
      <c r="P24" s="274"/>
      <c r="Q24" s="274"/>
      <c r="R24" s="274"/>
      <c r="S24" s="274"/>
      <c r="T24" s="274"/>
      <c r="U24" s="274"/>
      <c r="V24" s="274"/>
      <c r="W24" s="274"/>
      <c r="X24" s="274"/>
      <c r="Y24" s="274"/>
      <c r="Z24" s="280"/>
      <c r="AA24" s="274"/>
      <c r="AB24" s="268">
        <f t="shared" si="10"/>
        <v>0</v>
      </c>
      <c r="AC24" s="275">
        <f t="shared" si="11"/>
        <v>0</v>
      </c>
      <c r="AD24" s="269">
        <f t="shared" si="12"/>
        <v>0</v>
      </c>
      <c r="AE24" s="274"/>
      <c r="AF24" s="274"/>
      <c r="AG24" s="274"/>
      <c r="AH24" s="274"/>
      <c r="AI24" s="274"/>
      <c r="AJ24" s="274"/>
      <c r="AK24" s="274"/>
      <c r="AL24" s="274"/>
      <c r="AM24" s="274"/>
      <c r="AN24" s="274"/>
      <c r="AO24" s="274"/>
      <c r="AP24" s="274"/>
      <c r="AQ24" s="274"/>
      <c r="AR24" s="274"/>
      <c r="AS24" s="274"/>
      <c r="AT24" s="268" t="e">
        <f t="shared" si="13"/>
        <v>#N/A</v>
      </c>
      <c r="AU24" s="195">
        <f t="shared" si="14"/>
        <v>0</v>
      </c>
      <c r="AV24" s="271">
        <f t="shared" si="15"/>
        <v>0</v>
      </c>
      <c r="AW24" s="269">
        <f t="shared" si="16"/>
        <v>0</v>
      </c>
      <c r="AX24" s="276">
        <f t="shared" si="17"/>
        <v>0</v>
      </c>
      <c r="AY24" s="277"/>
      <c r="AZ24" s="277"/>
      <c r="BA24" s="277"/>
      <c r="BB24" s="277"/>
    </row>
    <row r="25" spans="1:54" s="278" customFormat="1" ht="18.75">
      <c r="A25" s="265"/>
      <c r="B25" s="266">
        <f t="shared" si="0"/>
        <v>0</v>
      </c>
      <c r="C25" s="267">
        <f t="shared" si="1"/>
        <v>0</v>
      </c>
      <c r="D25" s="267">
        <f t="shared" si="2"/>
        <v>0</v>
      </c>
      <c r="E25" s="267">
        <f t="shared" si="3"/>
        <v>0</v>
      </c>
      <c r="F25" s="267">
        <f t="shared" si="4"/>
        <v>0</v>
      </c>
      <c r="G25" s="268">
        <f t="shared" si="5"/>
        <v>0</v>
      </c>
      <c r="H25" s="268">
        <f t="shared" si="6"/>
        <v>0</v>
      </c>
      <c r="I25" s="269">
        <f t="shared" si="7"/>
        <v>0</v>
      </c>
      <c r="J25" s="279"/>
      <c r="K25" s="268">
        <f t="shared" si="8"/>
        <v>0</v>
      </c>
      <c r="L25" s="271">
        <f t="shared" si="9"/>
        <v>0</v>
      </c>
      <c r="M25" s="274"/>
      <c r="N25" s="274"/>
      <c r="O25" s="274"/>
      <c r="P25" s="274"/>
      <c r="Q25" s="274"/>
      <c r="R25" s="274"/>
      <c r="S25" s="274"/>
      <c r="T25" s="274"/>
      <c r="U25" s="274"/>
      <c r="V25" s="274"/>
      <c r="W25" s="274"/>
      <c r="X25" s="274"/>
      <c r="Y25" s="274"/>
      <c r="Z25" s="280"/>
      <c r="AA25" s="274"/>
      <c r="AB25" s="268">
        <f t="shared" si="10"/>
        <v>0</v>
      </c>
      <c r="AC25" s="275">
        <f t="shared" si="11"/>
        <v>0</v>
      </c>
      <c r="AD25" s="269">
        <f t="shared" si="12"/>
        <v>0</v>
      </c>
      <c r="AE25" s="274"/>
      <c r="AF25" s="274"/>
      <c r="AG25" s="274"/>
      <c r="AH25" s="274"/>
      <c r="AI25" s="274"/>
      <c r="AJ25" s="274"/>
      <c r="AK25" s="274"/>
      <c r="AL25" s="274"/>
      <c r="AM25" s="274"/>
      <c r="AN25" s="274"/>
      <c r="AO25" s="274"/>
      <c r="AP25" s="274"/>
      <c r="AQ25" s="274"/>
      <c r="AR25" s="274"/>
      <c r="AS25" s="274"/>
      <c r="AT25" s="268" t="e">
        <f t="shared" si="13"/>
        <v>#N/A</v>
      </c>
      <c r="AU25" s="195">
        <f t="shared" si="14"/>
        <v>0</v>
      </c>
      <c r="AV25" s="271">
        <f t="shared" si="15"/>
        <v>0</v>
      </c>
      <c r="AW25" s="269">
        <f t="shared" si="16"/>
        <v>0</v>
      </c>
      <c r="AX25" s="276">
        <f t="shared" si="17"/>
        <v>0</v>
      </c>
      <c r="AY25" s="277"/>
      <c r="AZ25" s="277"/>
      <c r="BA25" s="277"/>
      <c r="BB25" s="277"/>
    </row>
    <row r="26" spans="1:54" s="278" customFormat="1" ht="18.75">
      <c r="A26" s="265"/>
      <c r="B26" s="266">
        <f t="shared" si="0"/>
        <v>0</v>
      </c>
      <c r="C26" s="267">
        <f t="shared" si="1"/>
        <v>0</v>
      </c>
      <c r="D26" s="267">
        <f t="shared" si="2"/>
        <v>0</v>
      </c>
      <c r="E26" s="267">
        <f t="shared" si="3"/>
        <v>0</v>
      </c>
      <c r="F26" s="267">
        <f t="shared" si="4"/>
        <v>0</v>
      </c>
      <c r="G26" s="268">
        <f t="shared" si="5"/>
        <v>0</v>
      </c>
      <c r="H26" s="268">
        <f t="shared" si="6"/>
        <v>0</v>
      </c>
      <c r="I26" s="269">
        <f t="shared" si="7"/>
        <v>0</v>
      </c>
      <c r="J26" s="279"/>
      <c r="K26" s="268">
        <f t="shared" si="8"/>
        <v>0</v>
      </c>
      <c r="L26" s="271">
        <f t="shared" si="9"/>
        <v>0</v>
      </c>
      <c r="M26" s="274"/>
      <c r="N26" s="274"/>
      <c r="O26" s="274"/>
      <c r="P26" s="274"/>
      <c r="Q26" s="274"/>
      <c r="R26" s="274"/>
      <c r="S26" s="274"/>
      <c r="T26" s="274"/>
      <c r="U26" s="274"/>
      <c r="V26" s="274"/>
      <c r="W26" s="274"/>
      <c r="X26" s="274"/>
      <c r="Y26" s="274"/>
      <c r="Z26" s="280"/>
      <c r="AA26" s="274"/>
      <c r="AB26" s="268">
        <f t="shared" si="10"/>
        <v>0</v>
      </c>
      <c r="AC26" s="275">
        <f t="shared" si="11"/>
        <v>0</v>
      </c>
      <c r="AD26" s="269">
        <f t="shared" si="12"/>
        <v>0</v>
      </c>
      <c r="AE26" s="274"/>
      <c r="AF26" s="274"/>
      <c r="AG26" s="274"/>
      <c r="AH26" s="274"/>
      <c r="AI26" s="274"/>
      <c r="AJ26" s="274"/>
      <c r="AK26" s="274"/>
      <c r="AL26" s="274"/>
      <c r="AM26" s="274"/>
      <c r="AN26" s="274"/>
      <c r="AO26" s="274"/>
      <c r="AP26" s="274"/>
      <c r="AQ26" s="274"/>
      <c r="AR26" s="274"/>
      <c r="AS26" s="274"/>
      <c r="AT26" s="268" t="e">
        <f t="shared" si="13"/>
        <v>#N/A</v>
      </c>
      <c r="AU26" s="195">
        <f t="shared" si="14"/>
        <v>0</v>
      </c>
      <c r="AV26" s="271">
        <f t="shared" si="15"/>
        <v>0</v>
      </c>
      <c r="AW26" s="269">
        <f t="shared" si="16"/>
        <v>0</v>
      </c>
      <c r="AX26" s="276">
        <f t="shared" si="17"/>
        <v>0</v>
      </c>
      <c r="AY26" s="277"/>
      <c r="AZ26" s="277"/>
      <c r="BA26" s="277"/>
      <c r="BB26" s="277"/>
    </row>
    <row r="27" spans="1:54" s="278" customFormat="1" ht="18.75">
      <c r="A27" s="265"/>
      <c r="B27" s="266">
        <f t="shared" si="0"/>
        <v>0</v>
      </c>
      <c r="C27" s="267">
        <f t="shared" si="1"/>
        <v>0</v>
      </c>
      <c r="D27" s="267">
        <f t="shared" si="2"/>
        <v>0</v>
      </c>
      <c r="E27" s="267">
        <f t="shared" si="3"/>
        <v>0</v>
      </c>
      <c r="F27" s="267">
        <f t="shared" si="4"/>
        <v>0</v>
      </c>
      <c r="G27" s="268">
        <f t="shared" si="5"/>
        <v>0</v>
      </c>
      <c r="H27" s="268">
        <f t="shared" si="6"/>
        <v>0</v>
      </c>
      <c r="I27" s="269">
        <f t="shared" si="7"/>
        <v>0</v>
      </c>
      <c r="J27" s="279"/>
      <c r="K27" s="268">
        <f t="shared" si="8"/>
        <v>0</v>
      </c>
      <c r="L27" s="271">
        <f t="shared" si="9"/>
        <v>0</v>
      </c>
      <c r="M27" s="274"/>
      <c r="N27" s="274"/>
      <c r="O27" s="274"/>
      <c r="P27" s="274"/>
      <c r="Q27" s="274"/>
      <c r="R27" s="274"/>
      <c r="S27" s="274"/>
      <c r="T27" s="274"/>
      <c r="U27" s="274"/>
      <c r="V27" s="274"/>
      <c r="W27" s="274"/>
      <c r="X27" s="274"/>
      <c r="Y27" s="274"/>
      <c r="Z27" s="280"/>
      <c r="AA27" s="274"/>
      <c r="AB27" s="268">
        <f t="shared" si="10"/>
        <v>0</v>
      </c>
      <c r="AC27" s="275">
        <f t="shared" si="11"/>
        <v>0</v>
      </c>
      <c r="AD27" s="269">
        <f t="shared" si="12"/>
        <v>0</v>
      </c>
      <c r="AE27" s="274"/>
      <c r="AF27" s="274"/>
      <c r="AG27" s="274"/>
      <c r="AH27" s="274"/>
      <c r="AI27" s="274"/>
      <c r="AJ27" s="274"/>
      <c r="AK27" s="274"/>
      <c r="AL27" s="274"/>
      <c r="AM27" s="274"/>
      <c r="AN27" s="274"/>
      <c r="AO27" s="274"/>
      <c r="AP27" s="274"/>
      <c r="AQ27" s="274"/>
      <c r="AR27" s="274"/>
      <c r="AS27" s="274"/>
      <c r="AT27" s="268" t="e">
        <f t="shared" si="13"/>
        <v>#N/A</v>
      </c>
      <c r="AU27" s="195">
        <f t="shared" si="14"/>
        <v>0</v>
      </c>
      <c r="AV27" s="271">
        <f t="shared" si="15"/>
        <v>0</v>
      </c>
      <c r="AW27" s="269">
        <f t="shared" si="16"/>
        <v>0</v>
      </c>
      <c r="AX27" s="276">
        <f t="shared" si="17"/>
        <v>0</v>
      </c>
      <c r="AY27" s="277"/>
      <c r="AZ27" s="277"/>
      <c r="BA27" s="277"/>
      <c r="BB27" s="277"/>
    </row>
    <row r="28" spans="1:54" s="278" customFormat="1" ht="18.75">
      <c r="A28" s="265"/>
      <c r="B28" s="266">
        <f t="shared" si="0"/>
        <v>0</v>
      </c>
      <c r="C28" s="267">
        <f t="shared" si="1"/>
        <v>0</v>
      </c>
      <c r="D28" s="267">
        <f t="shared" si="2"/>
        <v>0</v>
      </c>
      <c r="E28" s="267">
        <f t="shared" si="3"/>
        <v>0</v>
      </c>
      <c r="F28" s="267">
        <f t="shared" si="4"/>
        <v>0</v>
      </c>
      <c r="G28" s="268">
        <f t="shared" si="5"/>
        <v>0</v>
      </c>
      <c r="H28" s="268">
        <f t="shared" si="6"/>
        <v>0</v>
      </c>
      <c r="I28" s="269">
        <f t="shared" si="7"/>
        <v>0</v>
      </c>
      <c r="J28" s="279"/>
      <c r="K28" s="268">
        <f t="shared" si="8"/>
        <v>0</v>
      </c>
      <c r="L28" s="271">
        <f t="shared" si="9"/>
        <v>0</v>
      </c>
      <c r="M28" s="274"/>
      <c r="N28" s="274"/>
      <c r="O28" s="274"/>
      <c r="P28" s="274"/>
      <c r="Q28" s="274"/>
      <c r="R28" s="274"/>
      <c r="S28" s="274"/>
      <c r="T28" s="274"/>
      <c r="U28" s="274"/>
      <c r="V28" s="274"/>
      <c r="W28" s="274"/>
      <c r="X28" s="274"/>
      <c r="Y28" s="274"/>
      <c r="Z28" s="280"/>
      <c r="AA28" s="274"/>
      <c r="AB28" s="268">
        <f t="shared" si="10"/>
        <v>0</v>
      </c>
      <c r="AC28" s="275">
        <f t="shared" si="11"/>
        <v>0</v>
      </c>
      <c r="AD28" s="269">
        <f t="shared" si="12"/>
        <v>0</v>
      </c>
      <c r="AE28" s="274"/>
      <c r="AF28" s="274"/>
      <c r="AG28" s="274"/>
      <c r="AH28" s="274"/>
      <c r="AI28" s="274"/>
      <c r="AJ28" s="274"/>
      <c r="AK28" s="274"/>
      <c r="AL28" s="274"/>
      <c r="AM28" s="274"/>
      <c r="AN28" s="274"/>
      <c r="AO28" s="274"/>
      <c r="AP28" s="274"/>
      <c r="AQ28" s="274"/>
      <c r="AR28" s="274"/>
      <c r="AS28" s="274"/>
      <c r="AT28" s="268" t="e">
        <f t="shared" si="13"/>
        <v>#N/A</v>
      </c>
      <c r="AU28" s="195">
        <f t="shared" si="14"/>
        <v>0</v>
      </c>
      <c r="AV28" s="271">
        <f t="shared" si="15"/>
        <v>0</v>
      </c>
      <c r="AW28" s="269">
        <f t="shared" si="16"/>
        <v>0</v>
      </c>
      <c r="AX28" s="276">
        <f t="shared" si="17"/>
        <v>0</v>
      </c>
      <c r="AY28" s="277"/>
      <c r="AZ28" s="277"/>
      <c r="BA28" s="277"/>
      <c r="BB28" s="277"/>
    </row>
    <row r="29" spans="1:54" s="278" customFormat="1" ht="18.75">
      <c r="A29" s="265"/>
      <c r="B29" s="266">
        <f t="shared" si="0"/>
        <v>0</v>
      </c>
      <c r="C29" s="267">
        <f t="shared" si="1"/>
        <v>0</v>
      </c>
      <c r="D29" s="267">
        <f t="shared" si="2"/>
        <v>0</v>
      </c>
      <c r="E29" s="267">
        <f t="shared" si="3"/>
        <v>0</v>
      </c>
      <c r="F29" s="267">
        <f t="shared" si="4"/>
        <v>0</v>
      </c>
      <c r="G29" s="268">
        <f t="shared" si="5"/>
        <v>0</v>
      </c>
      <c r="H29" s="268">
        <f t="shared" si="6"/>
        <v>0</v>
      </c>
      <c r="I29" s="269">
        <f t="shared" si="7"/>
        <v>0</v>
      </c>
      <c r="J29" s="279"/>
      <c r="K29" s="268">
        <f t="shared" si="8"/>
        <v>0</v>
      </c>
      <c r="L29" s="271">
        <f t="shared" si="9"/>
        <v>0</v>
      </c>
      <c r="M29" s="274"/>
      <c r="N29" s="274"/>
      <c r="O29" s="274"/>
      <c r="P29" s="274"/>
      <c r="Q29" s="274"/>
      <c r="R29" s="274"/>
      <c r="S29" s="274"/>
      <c r="T29" s="274"/>
      <c r="U29" s="274"/>
      <c r="V29" s="274"/>
      <c r="W29" s="274"/>
      <c r="X29" s="274"/>
      <c r="Y29" s="274"/>
      <c r="Z29" s="280"/>
      <c r="AA29" s="274"/>
      <c r="AB29" s="268">
        <f t="shared" si="10"/>
        <v>0</v>
      </c>
      <c r="AC29" s="275">
        <f t="shared" si="11"/>
        <v>0</v>
      </c>
      <c r="AD29" s="269">
        <f t="shared" si="12"/>
        <v>0</v>
      </c>
      <c r="AE29" s="274"/>
      <c r="AF29" s="274"/>
      <c r="AG29" s="274"/>
      <c r="AH29" s="274"/>
      <c r="AI29" s="274"/>
      <c r="AJ29" s="274"/>
      <c r="AK29" s="274"/>
      <c r="AL29" s="274"/>
      <c r="AM29" s="274"/>
      <c r="AN29" s="274"/>
      <c r="AO29" s="274"/>
      <c r="AP29" s="274"/>
      <c r="AQ29" s="274"/>
      <c r="AR29" s="274"/>
      <c r="AS29" s="274"/>
      <c r="AT29" s="268" t="e">
        <f t="shared" si="13"/>
        <v>#N/A</v>
      </c>
      <c r="AU29" s="195">
        <f t="shared" si="14"/>
        <v>0</v>
      </c>
      <c r="AV29" s="271">
        <f t="shared" si="15"/>
        <v>0</v>
      </c>
      <c r="AW29" s="269">
        <f t="shared" si="16"/>
        <v>0</v>
      </c>
      <c r="AX29" s="276">
        <f t="shared" si="17"/>
        <v>0</v>
      </c>
      <c r="AY29" s="277"/>
      <c r="AZ29" s="277"/>
      <c r="BA29" s="277"/>
      <c r="BB29" s="277"/>
    </row>
    <row r="30" spans="1:54" s="278" customFormat="1" ht="18.75">
      <c r="A30" s="265"/>
      <c r="B30" s="266">
        <f t="shared" si="0"/>
        <v>0</v>
      </c>
      <c r="C30" s="267">
        <f t="shared" si="1"/>
        <v>0</v>
      </c>
      <c r="D30" s="267">
        <f t="shared" si="2"/>
        <v>0</v>
      </c>
      <c r="E30" s="267">
        <f t="shared" si="3"/>
        <v>0</v>
      </c>
      <c r="F30" s="267">
        <f t="shared" si="4"/>
        <v>0</v>
      </c>
      <c r="G30" s="268">
        <f t="shared" si="5"/>
        <v>0</v>
      </c>
      <c r="H30" s="268">
        <f t="shared" si="6"/>
        <v>0</v>
      </c>
      <c r="I30" s="269">
        <f t="shared" si="7"/>
        <v>0</v>
      </c>
      <c r="J30" s="279"/>
      <c r="K30" s="268">
        <f t="shared" si="8"/>
        <v>0</v>
      </c>
      <c r="L30" s="271">
        <f t="shared" si="9"/>
        <v>0</v>
      </c>
      <c r="M30" s="274"/>
      <c r="N30" s="274"/>
      <c r="O30" s="274"/>
      <c r="P30" s="274"/>
      <c r="Q30" s="274"/>
      <c r="R30" s="274"/>
      <c r="S30" s="274"/>
      <c r="T30" s="274"/>
      <c r="U30" s="274"/>
      <c r="V30" s="274"/>
      <c r="W30" s="274"/>
      <c r="X30" s="274"/>
      <c r="Y30" s="274"/>
      <c r="Z30" s="280"/>
      <c r="AA30" s="274"/>
      <c r="AB30" s="268">
        <f t="shared" si="10"/>
        <v>0</v>
      </c>
      <c r="AC30" s="275">
        <f t="shared" si="11"/>
        <v>0</v>
      </c>
      <c r="AD30" s="269">
        <f t="shared" si="12"/>
        <v>0</v>
      </c>
      <c r="AE30" s="274"/>
      <c r="AF30" s="274"/>
      <c r="AG30" s="274"/>
      <c r="AH30" s="274"/>
      <c r="AI30" s="274"/>
      <c r="AJ30" s="274"/>
      <c r="AK30" s="274"/>
      <c r="AL30" s="274"/>
      <c r="AM30" s="274"/>
      <c r="AN30" s="274"/>
      <c r="AO30" s="274"/>
      <c r="AP30" s="274"/>
      <c r="AQ30" s="274"/>
      <c r="AR30" s="274"/>
      <c r="AS30" s="274"/>
      <c r="AT30" s="268" t="e">
        <f t="shared" si="13"/>
        <v>#N/A</v>
      </c>
      <c r="AU30" s="195">
        <f t="shared" si="14"/>
        <v>0</v>
      </c>
      <c r="AV30" s="271">
        <f t="shared" si="15"/>
        <v>0</v>
      </c>
      <c r="AW30" s="269">
        <f t="shared" si="16"/>
        <v>0</v>
      </c>
      <c r="AX30" s="276">
        <f t="shared" si="17"/>
        <v>0</v>
      </c>
      <c r="AY30" s="277"/>
      <c r="AZ30" s="277"/>
      <c r="BA30" s="277"/>
      <c r="BB30" s="277"/>
    </row>
    <row r="31" spans="1:54" s="278" customFormat="1" ht="18.75">
      <c r="A31" s="265"/>
      <c r="B31" s="266">
        <f t="shared" si="0"/>
        <v>0</v>
      </c>
      <c r="C31" s="267">
        <f t="shared" si="1"/>
        <v>0</v>
      </c>
      <c r="D31" s="267">
        <f t="shared" si="2"/>
        <v>0</v>
      </c>
      <c r="E31" s="267">
        <f t="shared" si="3"/>
        <v>0</v>
      </c>
      <c r="F31" s="267">
        <f t="shared" si="4"/>
        <v>0</v>
      </c>
      <c r="G31" s="268">
        <f t="shared" si="5"/>
        <v>0</v>
      </c>
      <c r="H31" s="268">
        <f t="shared" si="6"/>
        <v>0</v>
      </c>
      <c r="I31" s="269">
        <f t="shared" si="7"/>
        <v>0</v>
      </c>
      <c r="J31" s="279"/>
      <c r="K31" s="268">
        <f t="shared" si="8"/>
        <v>0</v>
      </c>
      <c r="L31" s="271">
        <f t="shared" si="9"/>
        <v>0</v>
      </c>
      <c r="M31" s="274"/>
      <c r="N31" s="274"/>
      <c r="O31" s="274"/>
      <c r="P31" s="274"/>
      <c r="Q31" s="274"/>
      <c r="R31" s="274"/>
      <c r="S31" s="274"/>
      <c r="T31" s="274"/>
      <c r="U31" s="274"/>
      <c r="V31" s="274"/>
      <c r="W31" s="274"/>
      <c r="X31" s="274"/>
      <c r="Y31" s="274"/>
      <c r="Z31" s="280"/>
      <c r="AA31" s="274"/>
      <c r="AB31" s="268">
        <f t="shared" si="10"/>
        <v>0</v>
      </c>
      <c r="AC31" s="275">
        <f t="shared" si="11"/>
        <v>0</v>
      </c>
      <c r="AD31" s="269">
        <f t="shared" si="12"/>
        <v>0</v>
      </c>
      <c r="AE31" s="274"/>
      <c r="AF31" s="274"/>
      <c r="AG31" s="274"/>
      <c r="AH31" s="274"/>
      <c r="AI31" s="274"/>
      <c r="AJ31" s="274"/>
      <c r="AK31" s="274"/>
      <c r="AL31" s="274"/>
      <c r="AM31" s="274"/>
      <c r="AN31" s="274"/>
      <c r="AO31" s="274"/>
      <c r="AP31" s="274"/>
      <c r="AQ31" s="274"/>
      <c r="AR31" s="274"/>
      <c r="AS31" s="274"/>
      <c r="AT31" s="268" t="e">
        <f t="shared" si="13"/>
        <v>#N/A</v>
      </c>
      <c r="AU31" s="195">
        <f t="shared" si="14"/>
        <v>0</v>
      </c>
      <c r="AV31" s="271">
        <f t="shared" si="15"/>
        <v>0</v>
      </c>
      <c r="AW31" s="269">
        <f t="shared" si="16"/>
        <v>0</v>
      </c>
      <c r="AX31" s="276">
        <f t="shared" si="17"/>
        <v>0</v>
      </c>
      <c r="AY31" s="277"/>
      <c r="AZ31" s="277"/>
      <c r="BA31" s="277"/>
      <c r="BB31" s="277"/>
    </row>
    <row r="32" spans="1:54" s="278" customFormat="1" ht="18.75">
      <c r="A32" s="265"/>
      <c r="B32" s="266">
        <f t="shared" si="0"/>
        <v>0</v>
      </c>
      <c r="C32" s="267">
        <f t="shared" si="1"/>
        <v>0</v>
      </c>
      <c r="D32" s="267">
        <f t="shared" si="2"/>
        <v>0</v>
      </c>
      <c r="E32" s="267">
        <f t="shared" si="3"/>
        <v>0</v>
      </c>
      <c r="F32" s="267">
        <f t="shared" si="4"/>
        <v>0</v>
      </c>
      <c r="G32" s="268">
        <f t="shared" si="5"/>
        <v>0</v>
      </c>
      <c r="H32" s="268">
        <f t="shared" si="6"/>
        <v>0</v>
      </c>
      <c r="I32" s="269">
        <f t="shared" si="7"/>
        <v>0</v>
      </c>
      <c r="J32" s="279"/>
      <c r="K32" s="268">
        <f t="shared" si="8"/>
        <v>0</v>
      </c>
      <c r="L32" s="271">
        <f t="shared" si="9"/>
        <v>0</v>
      </c>
      <c r="M32" s="274"/>
      <c r="N32" s="274"/>
      <c r="O32" s="274"/>
      <c r="P32" s="274"/>
      <c r="Q32" s="274"/>
      <c r="R32" s="274"/>
      <c r="S32" s="274"/>
      <c r="T32" s="274"/>
      <c r="U32" s="274"/>
      <c r="V32" s="274"/>
      <c r="W32" s="274"/>
      <c r="X32" s="274"/>
      <c r="Y32" s="274"/>
      <c r="Z32" s="280"/>
      <c r="AA32" s="274"/>
      <c r="AB32" s="268">
        <f t="shared" si="10"/>
        <v>0</v>
      </c>
      <c r="AC32" s="275">
        <f t="shared" si="11"/>
        <v>0</v>
      </c>
      <c r="AD32" s="269">
        <f t="shared" si="12"/>
        <v>0</v>
      </c>
      <c r="AE32" s="274"/>
      <c r="AF32" s="274"/>
      <c r="AG32" s="274"/>
      <c r="AH32" s="274"/>
      <c r="AI32" s="274"/>
      <c r="AJ32" s="274"/>
      <c r="AK32" s="274"/>
      <c r="AL32" s="274"/>
      <c r="AM32" s="274"/>
      <c r="AN32" s="274"/>
      <c r="AO32" s="274"/>
      <c r="AP32" s="274"/>
      <c r="AQ32" s="274"/>
      <c r="AR32" s="274"/>
      <c r="AS32" s="274"/>
      <c r="AT32" s="268" t="e">
        <f t="shared" si="13"/>
        <v>#N/A</v>
      </c>
      <c r="AU32" s="195">
        <f t="shared" si="14"/>
        <v>0</v>
      </c>
      <c r="AV32" s="271">
        <f t="shared" si="15"/>
        <v>0</v>
      </c>
      <c r="AW32" s="269">
        <f t="shared" si="16"/>
        <v>0</v>
      </c>
      <c r="AX32" s="276">
        <f t="shared" si="17"/>
        <v>0</v>
      </c>
      <c r="AY32" s="277"/>
      <c r="AZ32" s="277"/>
      <c r="BA32" s="277"/>
      <c r="BB32" s="277"/>
    </row>
    <row r="33" spans="1:54" s="278" customFormat="1" ht="18.75">
      <c r="A33" s="265"/>
      <c r="B33" s="266">
        <f t="shared" si="0"/>
        <v>0</v>
      </c>
      <c r="C33" s="267">
        <f t="shared" si="1"/>
        <v>0</v>
      </c>
      <c r="D33" s="267">
        <f t="shared" si="2"/>
        <v>0</v>
      </c>
      <c r="E33" s="267">
        <f t="shared" si="3"/>
        <v>0</v>
      </c>
      <c r="F33" s="267">
        <f t="shared" si="4"/>
        <v>0</v>
      </c>
      <c r="G33" s="268">
        <f t="shared" si="5"/>
        <v>0</v>
      </c>
      <c r="H33" s="268">
        <f t="shared" si="6"/>
        <v>0</v>
      </c>
      <c r="I33" s="269">
        <f t="shared" si="7"/>
        <v>0</v>
      </c>
      <c r="J33" s="279"/>
      <c r="K33" s="268">
        <f t="shared" si="8"/>
        <v>0</v>
      </c>
      <c r="L33" s="271">
        <f t="shared" si="9"/>
        <v>0</v>
      </c>
      <c r="M33" s="274"/>
      <c r="N33" s="274"/>
      <c r="O33" s="274"/>
      <c r="P33" s="274"/>
      <c r="Q33" s="274"/>
      <c r="R33" s="274"/>
      <c r="S33" s="274"/>
      <c r="T33" s="274"/>
      <c r="U33" s="274"/>
      <c r="V33" s="274"/>
      <c r="W33" s="274"/>
      <c r="X33" s="274"/>
      <c r="Y33" s="274"/>
      <c r="Z33" s="280"/>
      <c r="AA33" s="274"/>
      <c r="AB33" s="268">
        <f t="shared" si="10"/>
        <v>0</v>
      </c>
      <c r="AC33" s="275">
        <f t="shared" si="11"/>
        <v>0</v>
      </c>
      <c r="AD33" s="269">
        <f t="shared" si="12"/>
        <v>0</v>
      </c>
      <c r="AE33" s="274"/>
      <c r="AF33" s="274"/>
      <c r="AG33" s="274"/>
      <c r="AH33" s="274"/>
      <c r="AI33" s="274"/>
      <c r="AJ33" s="274"/>
      <c r="AK33" s="274"/>
      <c r="AL33" s="274"/>
      <c r="AM33" s="274"/>
      <c r="AN33" s="274"/>
      <c r="AO33" s="274"/>
      <c r="AP33" s="274"/>
      <c r="AQ33" s="274"/>
      <c r="AR33" s="274"/>
      <c r="AS33" s="274"/>
      <c r="AT33" s="268" t="e">
        <f t="shared" si="13"/>
        <v>#N/A</v>
      </c>
      <c r="AU33" s="195">
        <f t="shared" si="14"/>
        <v>0</v>
      </c>
      <c r="AV33" s="271">
        <f t="shared" si="15"/>
        <v>0</v>
      </c>
      <c r="AW33" s="269">
        <f t="shared" si="16"/>
        <v>0</v>
      </c>
      <c r="AX33" s="276">
        <f t="shared" si="17"/>
        <v>0</v>
      </c>
      <c r="AY33" s="277"/>
      <c r="AZ33" s="277"/>
      <c r="BA33" s="277"/>
      <c r="BB33" s="277"/>
    </row>
    <row r="34" spans="1:54" s="278" customFormat="1" ht="18.75">
      <c r="A34" s="265"/>
      <c r="B34" s="266">
        <f t="shared" si="0"/>
        <v>0</v>
      </c>
      <c r="C34" s="267">
        <f t="shared" si="1"/>
        <v>0</v>
      </c>
      <c r="D34" s="267">
        <f t="shared" si="2"/>
        <v>0</v>
      </c>
      <c r="E34" s="267">
        <f t="shared" si="3"/>
        <v>0</v>
      </c>
      <c r="F34" s="267">
        <f t="shared" si="4"/>
        <v>0</v>
      </c>
      <c r="G34" s="268">
        <f t="shared" si="5"/>
        <v>0</v>
      </c>
      <c r="H34" s="268">
        <f t="shared" si="6"/>
        <v>0</v>
      </c>
      <c r="I34" s="269">
        <f t="shared" si="7"/>
        <v>0</v>
      </c>
      <c r="J34" s="279"/>
      <c r="K34" s="268">
        <f t="shared" si="8"/>
        <v>0</v>
      </c>
      <c r="L34" s="271">
        <f t="shared" si="9"/>
        <v>0</v>
      </c>
      <c r="M34" s="274"/>
      <c r="N34" s="274"/>
      <c r="O34" s="274"/>
      <c r="P34" s="274"/>
      <c r="Q34" s="274"/>
      <c r="R34" s="274"/>
      <c r="S34" s="274"/>
      <c r="T34" s="274"/>
      <c r="U34" s="274"/>
      <c r="V34" s="274"/>
      <c r="W34" s="274"/>
      <c r="X34" s="274"/>
      <c r="Y34" s="274"/>
      <c r="Z34" s="280"/>
      <c r="AA34" s="274"/>
      <c r="AB34" s="268">
        <f t="shared" si="10"/>
        <v>0</v>
      </c>
      <c r="AC34" s="275">
        <f t="shared" si="11"/>
        <v>0</v>
      </c>
      <c r="AD34" s="269">
        <f t="shared" si="12"/>
        <v>0</v>
      </c>
      <c r="AE34" s="274"/>
      <c r="AF34" s="274"/>
      <c r="AG34" s="274"/>
      <c r="AH34" s="274"/>
      <c r="AI34" s="274"/>
      <c r="AJ34" s="274"/>
      <c r="AK34" s="274"/>
      <c r="AL34" s="274"/>
      <c r="AM34" s="274"/>
      <c r="AN34" s="274"/>
      <c r="AO34" s="274"/>
      <c r="AP34" s="274"/>
      <c r="AQ34" s="274"/>
      <c r="AR34" s="274"/>
      <c r="AS34" s="274"/>
      <c r="AT34" s="268" t="e">
        <f t="shared" si="13"/>
        <v>#N/A</v>
      </c>
      <c r="AU34" s="195">
        <f t="shared" si="14"/>
        <v>0</v>
      </c>
      <c r="AV34" s="271">
        <f t="shared" si="15"/>
        <v>0</v>
      </c>
      <c r="AW34" s="269">
        <f t="shared" si="16"/>
        <v>0</v>
      </c>
      <c r="AX34" s="276">
        <f t="shared" si="17"/>
        <v>0</v>
      </c>
      <c r="AY34" s="277"/>
      <c r="AZ34" s="277"/>
      <c r="BA34" s="277"/>
      <c r="BB34" s="277"/>
    </row>
    <row r="35" spans="1:54" s="278" customFormat="1" ht="18.75">
      <c r="A35" s="265"/>
      <c r="B35" s="266">
        <f t="shared" si="0"/>
        <v>0</v>
      </c>
      <c r="C35" s="267">
        <f t="shared" si="1"/>
        <v>0</v>
      </c>
      <c r="D35" s="267">
        <f t="shared" si="2"/>
        <v>0</v>
      </c>
      <c r="E35" s="267">
        <f t="shared" si="3"/>
        <v>0</v>
      </c>
      <c r="F35" s="267">
        <f t="shared" si="4"/>
        <v>0</v>
      </c>
      <c r="G35" s="268">
        <f t="shared" si="5"/>
        <v>0</v>
      </c>
      <c r="H35" s="268">
        <f t="shared" si="6"/>
        <v>0</v>
      </c>
      <c r="I35" s="269">
        <f t="shared" si="7"/>
        <v>0</v>
      </c>
      <c r="J35" s="279"/>
      <c r="K35" s="268">
        <f t="shared" si="8"/>
        <v>0</v>
      </c>
      <c r="L35" s="271">
        <f t="shared" si="9"/>
        <v>0</v>
      </c>
      <c r="M35" s="274"/>
      <c r="N35" s="274"/>
      <c r="O35" s="274"/>
      <c r="P35" s="274"/>
      <c r="Q35" s="274"/>
      <c r="R35" s="274"/>
      <c r="S35" s="274"/>
      <c r="T35" s="274"/>
      <c r="U35" s="274"/>
      <c r="V35" s="274"/>
      <c r="W35" s="274"/>
      <c r="X35" s="274"/>
      <c r="Y35" s="274"/>
      <c r="Z35" s="280"/>
      <c r="AA35" s="274"/>
      <c r="AB35" s="268">
        <f t="shared" si="10"/>
        <v>0</v>
      </c>
      <c r="AC35" s="275">
        <f t="shared" si="11"/>
        <v>0</v>
      </c>
      <c r="AD35" s="269">
        <f t="shared" si="12"/>
        <v>0</v>
      </c>
      <c r="AE35" s="274"/>
      <c r="AF35" s="274"/>
      <c r="AG35" s="274"/>
      <c r="AH35" s="274"/>
      <c r="AI35" s="274"/>
      <c r="AJ35" s="274"/>
      <c r="AK35" s="274"/>
      <c r="AL35" s="274"/>
      <c r="AM35" s="274"/>
      <c r="AN35" s="274"/>
      <c r="AO35" s="274"/>
      <c r="AP35" s="274"/>
      <c r="AQ35" s="274"/>
      <c r="AR35" s="274"/>
      <c r="AS35" s="274"/>
      <c r="AT35" s="268" t="e">
        <f t="shared" si="13"/>
        <v>#N/A</v>
      </c>
      <c r="AU35" s="195">
        <f t="shared" si="14"/>
        <v>0</v>
      </c>
      <c r="AV35" s="271">
        <f t="shared" si="15"/>
        <v>0</v>
      </c>
      <c r="AW35" s="269">
        <f t="shared" si="16"/>
        <v>0</v>
      </c>
      <c r="AX35" s="276">
        <f t="shared" si="17"/>
        <v>0</v>
      </c>
      <c r="AY35" s="277"/>
      <c r="AZ35" s="277"/>
      <c r="BA35" s="277"/>
      <c r="BB35" s="277"/>
    </row>
    <row r="36" spans="1:54" s="278" customFormat="1" ht="18.75">
      <c r="A36" s="265"/>
      <c r="B36" s="266">
        <f t="shared" si="0"/>
        <v>0</v>
      </c>
      <c r="C36" s="267">
        <f t="shared" si="1"/>
        <v>0</v>
      </c>
      <c r="D36" s="267">
        <f t="shared" si="2"/>
        <v>0</v>
      </c>
      <c r="E36" s="267">
        <f t="shared" si="3"/>
        <v>0</v>
      </c>
      <c r="F36" s="267">
        <f t="shared" si="4"/>
        <v>0</v>
      </c>
      <c r="G36" s="268">
        <f t="shared" si="5"/>
        <v>0</v>
      </c>
      <c r="H36" s="268">
        <f t="shared" si="6"/>
        <v>0</v>
      </c>
      <c r="I36" s="269">
        <f t="shared" si="7"/>
        <v>0</v>
      </c>
      <c r="J36" s="279"/>
      <c r="K36" s="268">
        <f t="shared" si="8"/>
        <v>0</v>
      </c>
      <c r="L36" s="271">
        <f t="shared" si="9"/>
        <v>0</v>
      </c>
      <c r="M36" s="274"/>
      <c r="N36" s="274"/>
      <c r="O36" s="274"/>
      <c r="P36" s="274"/>
      <c r="Q36" s="274"/>
      <c r="R36" s="274"/>
      <c r="S36" s="274"/>
      <c r="T36" s="274"/>
      <c r="U36" s="274"/>
      <c r="V36" s="274"/>
      <c r="W36" s="274"/>
      <c r="X36" s="274"/>
      <c r="Y36" s="274"/>
      <c r="Z36" s="280"/>
      <c r="AA36" s="274"/>
      <c r="AB36" s="268">
        <f t="shared" si="10"/>
        <v>0</v>
      </c>
      <c r="AC36" s="275">
        <f t="shared" si="11"/>
        <v>0</v>
      </c>
      <c r="AD36" s="269">
        <f t="shared" si="12"/>
        <v>0</v>
      </c>
      <c r="AE36" s="274"/>
      <c r="AF36" s="274"/>
      <c r="AG36" s="274"/>
      <c r="AH36" s="274"/>
      <c r="AI36" s="274"/>
      <c r="AJ36" s="274"/>
      <c r="AK36" s="274"/>
      <c r="AL36" s="274"/>
      <c r="AM36" s="274"/>
      <c r="AN36" s="274"/>
      <c r="AO36" s="274"/>
      <c r="AP36" s="274"/>
      <c r="AQ36" s="274"/>
      <c r="AR36" s="274"/>
      <c r="AS36" s="274"/>
      <c r="AT36" s="268" t="e">
        <f t="shared" si="13"/>
        <v>#N/A</v>
      </c>
      <c r="AU36" s="195">
        <f t="shared" si="14"/>
        <v>0</v>
      </c>
      <c r="AV36" s="271">
        <f t="shared" si="15"/>
        <v>0</v>
      </c>
      <c r="AW36" s="269">
        <f t="shared" si="16"/>
        <v>0</v>
      </c>
      <c r="AX36" s="276">
        <f t="shared" si="17"/>
        <v>0</v>
      </c>
      <c r="AY36" s="277"/>
      <c r="AZ36" s="277"/>
      <c r="BA36" s="277"/>
      <c r="BB36" s="277"/>
    </row>
    <row r="37" spans="1:54" s="278" customFormat="1" ht="18.75">
      <c r="A37" s="265"/>
      <c r="B37" s="266">
        <f t="shared" si="0"/>
        <v>0</v>
      </c>
      <c r="C37" s="267">
        <f t="shared" si="1"/>
        <v>0</v>
      </c>
      <c r="D37" s="267">
        <f t="shared" si="2"/>
        <v>0</v>
      </c>
      <c r="E37" s="267">
        <f t="shared" si="3"/>
        <v>0</v>
      </c>
      <c r="F37" s="267">
        <f t="shared" si="4"/>
        <v>0</v>
      </c>
      <c r="G37" s="268">
        <f t="shared" si="5"/>
        <v>0</v>
      </c>
      <c r="H37" s="268">
        <f t="shared" si="6"/>
        <v>0</v>
      </c>
      <c r="I37" s="269">
        <f t="shared" si="7"/>
        <v>0</v>
      </c>
      <c r="J37" s="279"/>
      <c r="K37" s="268">
        <f t="shared" si="8"/>
        <v>0</v>
      </c>
      <c r="L37" s="271">
        <f t="shared" si="9"/>
        <v>0</v>
      </c>
      <c r="M37" s="274"/>
      <c r="N37" s="274"/>
      <c r="O37" s="274"/>
      <c r="P37" s="274"/>
      <c r="Q37" s="274"/>
      <c r="R37" s="274"/>
      <c r="S37" s="274"/>
      <c r="T37" s="274"/>
      <c r="U37" s="274"/>
      <c r="V37" s="274"/>
      <c r="W37" s="274"/>
      <c r="X37" s="274"/>
      <c r="Y37" s="274"/>
      <c r="Z37" s="280"/>
      <c r="AA37" s="274"/>
      <c r="AB37" s="268">
        <f t="shared" si="10"/>
        <v>0</v>
      </c>
      <c r="AC37" s="275">
        <f t="shared" si="11"/>
        <v>0</v>
      </c>
      <c r="AD37" s="269">
        <f t="shared" si="12"/>
        <v>0</v>
      </c>
      <c r="AE37" s="274"/>
      <c r="AF37" s="274"/>
      <c r="AG37" s="274"/>
      <c r="AH37" s="274"/>
      <c r="AI37" s="274"/>
      <c r="AJ37" s="274"/>
      <c r="AK37" s="274"/>
      <c r="AL37" s="274"/>
      <c r="AM37" s="274"/>
      <c r="AN37" s="274"/>
      <c r="AO37" s="274"/>
      <c r="AP37" s="274"/>
      <c r="AQ37" s="274"/>
      <c r="AR37" s="274"/>
      <c r="AS37" s="274"/>
      <c r="AT37" s="268" t="e">
        <f t="shared" si="13"/>
        <v>#N/A</v>
      </c>
      <c r="AU37" s="195">
        <f t="shared" si="14"/>
        <v>0</v>
      </c>
      <c r="AV37" s="271">
        <f t="shared" si="15"/>
        <v>0</v>
      </c>
      <c r="AW37" s="269">
        <f t="shared" si="16"/>
        <v>0</v>
      </c>
      <c r="AX37" s="276">
        <f t="shared" si="17"/>
        <v>0</v>
      </c>
      <c r="AY37" s="277"/>
      <c r="AZ37" s="277"/>
      <c r="BA37" s="277"/>
      <c r="BB37" s="277"/>
    </row>
    <row r="38" spans="1:54" s="278" customFormat="1" ht="18.75">
      <c r="A38" s="265"/>
      <c r="B38" s="266">
        <f t="shared" si="0"/>
        <v>0</v>
      </c>
      <c r="C38" s="267">
        <f t="shared" si="1"/>
        <v>0</v>
      </c>
      <c r="D38" s="267">
        <f t="shared" si="2"/>
        <v>0</v>
      </c>
      <c r="E38" s="267">
        <f t="shared" si="3"/>
        <v>0</v>
      </c>
      <c r="F38" s="267">
        <f t="shared" si="4"/>
        <v>0</v>
      </c>
      <c r="G38" s="268">
        <f t="shared" si="5"/>
        <v>0</v>
      </c>
      <c r="H38" s="268">
        <f t="shared" si="6"/>
        <v>0</v>
      </c>
      <c r="I38" s="269">
        <f t="shared" si="7"/>
        <v>0</v>
      </c>
      <c r="J38" s="279"/>
      <c r="K38" s="268">
        <f t="shared" si="8"/>
        <v>0</v>
      </c>
      <c r="L38" s="271">
        <f t="shared" si="9"/>
        <v>0</v>
      </c>
      <c r="M38" s="274"/>
      <c r="N38" s="274"/>
      <c r="O38" s="274"/>
      <c r="P38" s="274"/>
      <c r="Q38" s="274"/>
      <c r="R38" s="274"/>
      <c r="S38" s="274"/>
      <c r="T38" s="274"/>
      <c r="U38" s="274"/>
      <c r="V38" s="274"/>
      <c r="W38" s="274"/>
      <c r="X38" s="274"/>
      <c r="Y38" s="274"/>
      <c r="Z38" s="280"/>
      <c r="AA38" s="274"/>
      <c r="AB38" s="268">
        <f t="shared" si="10"/>
        <v>0</v>
      </c>
      <c r="AC38" s="275">
        <f t="shared" si="11"/>
        <v>0</v>
      </c>
      <c r="AD38" s="269">
        <f t="shared" si="12"/>
        <v>0</v>
      </c>
      <c r="AE38" s="274"/>
      <c r="AF38" s="274"/>
      <c r="AG38" s="274"/>
      <c r="AH38" s="274"/>
      <c r="AI38" s="274"/>
      <c r="AJ38" s="274"/>
      <c r="AK38" s="274"/>
      <c r="AL38" s="274"/>
      <c r="AM38" s="274"/>
      <c r="AN38" s="274"/>
      <c r="AO38" s="274"/>
      <c r="AP38" s="274"/>
      <c r="AQ38" s="274"/>
      <c r="AR38" s="274"/>
      <c r="AS38" s="274"/>
      <c r="AT38" s="268" t="e">
        <f t="shared" si="13"/>
        <v>#N/A</v>
      </c>
      <c r="AU38" s="195">
        <f t="shared" si="14"/>
        <v>0</v>
      </c>
      <c r="AV38" s="271">
        <f t="shared" si="15"/>
        <v>0</v>
      </c>
      <c r="AW38" s="269">
        <f t="shared" si="16"/>
        <v>0</v>
      </c>
      <c r="AX38" s="276">
        <f t="shared" si="17"/>
        <v>0</v>
      </c>
      <c r="AY38" s="277"/>
      <c r="AZ38" s="277"/>
      <c r="BA38" s="277"/>
      <c r="BB38" s="277"/>
    </row>
    <row r="39" spans="1:54" s="278" customFormat="1" ht="18.75">
      <c r="A39" s="265"/>
      <c r="B39" s="266">
        <f t="shared" si="0"/>
        <v>0</v>
      </c>
      <c r="C39" s="267">
        <f t="shared" si="1"/>
        <v>0</v>
      </c>
      <c r="D39" s="267">
        <f t="shared" si="2"/>
        <v>0</v>
      </c>
      <c r="E39" s="267">
        <f t="shared" si="3"/>
        <v>0</v>
      </c>
      <c r="F39" s="267">
        <f t="shared" si="4"/>
        <v>0</v>
      </c>
      <c r="G39" s="268">
        <f t="shared" si="5"/>
        <v>0</v>
      </c>
      <c r="H39" s="268">
        <f t="shared" si="6"/>
        <v>0</v>
      </c>
      <c r="I39" s="269">
        <f t="shared" si="7"/>
        <v>0</v>
      </c>
      <c r="J39" s="279"/>
      <c r="K39" s="268">
        <f t="shared" si="8"/>
        <v>0</v>
      </c>
      <c r="L39" s="271">
        <f t="shared" si="9"/>
        <v>0</v>
      </c>
      <c r="M39" s="274"/>
      <c r="N39" s="274"/>
      <c r="O39" s="274"/>
      <c r="P39" s="274"/>
      <c r="Q39" s="274"/>
      <c r="R39" s="274"/>
      <c r="S39" s="274"/>
      <c r="T39" s="274"/>
      <c r="U39" s="274"/>
      <c r="V39" s="274"/>
      <c r="W39" s="274"/>
      <c r="X39" s="274"/>
      <c r="Y39" s="274"/>
      <c r="Z39" s="280"/>
      <c r="AA39" s="274"/>
      <c r="AB39" s="268">
        <f t="shared" si="10"/>
        <v>0</v>
      </c>
      <c r="AC39" s="275">
        <f t="shared" si="11"/>
        <v>0</v>
      </c>
      <c r="AD39" s="269">
        <f t="shared" si="12"/>
        <v>0</v>
      </c>
      <c r="AE39" s="274"/>
      <c r="AF39" s="274"/>
      <c r="AG39" s="274"/>
      <c r="AH39" s="274"/>
      <c r="AI39" s="274"/>
      <c r="AJ39" s="274"/>
      <c r="AK39" s="274"/>
      <c r="AL39" s="274"/>
      <c r="AM39" s="274"/>
      <c r="AN39" s="274"/>
      <c r="AO39" s="274"/>
      <c r="AP39" s="274"/>
      <c r="AQ39" s="274"/>
      <c r="AR39" s="274"/>
      <c r="AS39" s="274"/>
      <c r="AT39" s="268" t="e">
        <f t="shared" si="13"/>
        <v>#N/A</v>
      </c>
      <c r="AU39" s="195">
        <f t="shared" si="14"/>
        <v>0</v>
      </c>
      <c r="AV39" s="271">
        <f t="shared" si="15"/>
        <v>0</v>
      </c>
      <c r="AW39" s="269">
        <f t="shared" si="16"/>
        <v>0</v>
      </c>
      <c r="AX39" s="276">
        <f t="shared" si="17"/>
        <v>0</v>
      </c>
      <c r="AY39" s="277"/>
      <c r="AZ39" s="277"/>
      <c r="BA39" s="277"/>
      <c r="BB39" s="277"/>
    </row>
    <row r="40" spans="1:54" s="278" customFormat="1" ht="18.75">
      <c r="A40" s="265"/>
      <c r="B40" s="266">
        <f t="shared" si="0"/>
        <v>0</v>
      </c>
      <c r="C40" s="267">
        <f t="shared" si="1"/>
        <v>0</v>
      </c>
      <c r="D40" s="267">
        <f t="shared" si="2"/>
        <v>0</v>
      </c>
      <c r="E40" s="267">
        <f t="shared" si="3"/>
        <v>0</v>
      </c>
      <c r="F40" s="267">
        <f t="shared" si="4"/>
        <v>0</v>
      </c>
      <c r="G40" s="268">
        <f t="shared" si="5"/>
        <v>0</v>
      </c>
      <c r="H40" s="268">
        <f t="shared" si="6"/>
        <v>0</v>
      </c>
      <c r="I40" s="269">
        <f t="shared" si="7"/>
        <v>0</v>
      </c>
      <c r="J40" s="279"/>
      <c r="K40" s="268">
        <f t="shared" si="8"/>
        <v>0</v>
      </c>
      <c r="L40" s="271">
        <f t="shared" si="9"/>
        <v>0</v>
      </c>
      <c r="M40" s="274"/>
      <c r="N40" s="274"/>
      <c r="O40" s="274"/>
      <c r="P40" s="274"/>
      <c r="Q40" s="274"/>
      <c r="R40" s="274"/>
      <c r="S40" s="274"/>
      <c r="T40" s="274"/>
      <c r="U40" s="274"/>
      <c r="V40" s="274"/>
      <c r="W40" s="274"/>
      <c r="X40" s="274"/>
      <c r="Y40" s="274"/>
      <c r="Z40" s="280"/>
      <c r="AA40" s="274"/>
      <c r="AB40" s="268">
        <f t="shared" si="10"/>
        <v>0</v>
      </c>
      <c r="AC40" s="275">
        <f t="shared" si="11"/>
        <v>0</v>
      </c>
      <c r="AD40" s="269">
        <f t="shared" si="12"/>
        <v>0</v>
      </c>
      <c r="AE40" s="274"/>
      <c r="AF40" s="274"/>
      <c r="AG40" s="274"/>
      <c r="AH40" s="274"/>
      <c r="AI40" s="274"/>
      <c r="AJ40" s="274"/>
      <c r="AK40" s="274"/>
      <c r="AL40" s="274"/>
      <c r="AM40" s="274"/>
      <c r="AN40" s="274"/>
      <c r="AO40" s="274"/>
      <c r="AP40" s="274"/>
      <c r="AQ40" s="274"/>
      <c r="AR40" s="274"/>
      <c r="AS40" s="274"/>
      <c r="AT40" s="268" t="e">
        <f t="shared" si="13"/>
        <v>#N/A</v>
      </c>
      <c r="AU40" s="195">
        <f t="shared" si="14"/>
        <v>0</v>
      </c>
      <c r="AV40" s="271">
        <f t="shared" si="15"/>
        <v>0</v>
      </c>
      <c r="AW40" s="269">
        <f t="shared" si="16"/>
        <v>0</v>
      </c>
      <c r="AX40" s="276">
        <f t="shared" si="17"/>
        <v>0</v>
      </c>
      <c r="AY40" s="277"/>
      <c r="AZ40" s="277"/>
      <c r="BA40" s="277"/>
      <c r="BB40" s="277"/>
    </row>
    <row r="41" spans="1:54" s="278" customFormat="1" ht="18.75">
      <c r="A41" s="265"/>
      <c r="B41" s="266">
        <f t="shared" si="0"/>
        <v>0</v>
      </c>
      <c r="C41" s="267">
        <f t="shared" si="1"/>
        <v>0</v>
      </c>
      <c r="D41" s="267">
        <f t="shared" si="2"/>
        <v>0</v>
      </c>
      <c r="E41" s="267">
        <f t="shared" si="3"/>
        <v>0</v>
      </c>
      <c r="F41" s="267">
        <f t="shared" si="4"/>
        <v>0</v>
      </c>
      <c r="G41" s="268">
        <f t="shared" si="5"/>
        <v>0</v>
      </c>
      <c r="H41" s="268">
        <f t="shared" si="6"/>
        <v>0</v>
      </c>
      <c r="I41" s="269">
        <f t="shared" si="7"/>
        <v>0</v>
      </c>
      <c r="J41" s="279"/>
      <c r="K41" s="268">
        <f t="shared" si="8"/>
        <v>0</v>
      </c>
      <c r="L41" s="271">
        <f t="shared" si="9"/>
        <v>0</v>
      </c>
      <c r="M41" s="274"/>
      <c r="N41" s="274"/>
      <c r="O41" s="274"/>
      <c r="P41" s="274"/>
      <c r="Q41" s="274"/>
      <c r="R41" s="274"/>
      <c r="S41" s="274"/>
      <c r="T41" s="274"/>
      <c r="U41" s="274"/>
      <c r="V41" s="274"/>
      <c r="W41" s="274"/>
      <c r="X41" s="274"/>
      <c r="Y41" s="274"/>
      <c r="Z41" s="280"/>
      <c r="AA41" s="274"/>
      <c r="AB41" s="268">
        <f t="shared" si="10"/>
        <v>0</v>
      </c>
      <c r="AC41" s="275">
        <f t="shared" si="11"/>
        <v>0</v>
      </c>
      <c r="AD41" s="269">
        <f t="shared" si="12"/>
        <v>0</v>
      </c>
      <c r="AE41" s="274"/>
      <c r="AF41" s="274"/>
      <c r="AG41" s="274"/>
      <c r="AH41" s="274"/>
      <c r="AI41" s="274"/>
      <c r="AJ41" s="274"/>
      <c r="AK41" s="274"/>
      <c r="AL41" s="274"/>
      <c r="AM41" s="274"/>
      <c r="AN41" s="274"/>
      <c r="AO41" s="274"/>
      <c r="AP41" s="274"/>
      <c r="AQ41" s="274"/>
      <c r="AR41" s="274"/>
      <c r="AS41" s="274"/>
      <c r="AT41" s="268" t="e">
        <f t="shared" si="13"/>
        <v>#N/A</v>
      </c>
      <c r="AU41" s="195">
        <f t="shared" si="14"/>
        <v>0</v>
      </c>
      <c r="AV41" s="271">
        <f t="shared" si="15"/>
        <v>0</v>
      </c>
      <c r="AW41" s="269">
        <f t="shared" si="16"/>
        <v>0</v>
      </c>
      <c r="AX41" s="276">
        <f t="shared" si="17"/>
        <v>0</v>
      </c>
      <c r="AY41" s="277"/>
      <c r="AZ41" s="277"/>
      <c r="BA41" s="277"/>
      <c r="BB41" s="277"/>
    </row>
    <row r="42" spans="1:54" s="278" customFormat="1" ht="18.75">
      <c r="A42" s="265"/>
      <c r="B42" s="266">
        <f t="shared" si="0"/>
        <v>0</v>
      </c>
      <c r="C42" s="267">
        <f t="shared" si="1"/>
        <v>0</v>
      </c>
      <c r="D42" s="267">
        <f t="shared" si="2"/>
        <v>0</v>
      </c>
      <c r="E42" s="267">
        <f t="shared" si="3"/>
        <v>0</v>
      </c>
      <c r="F42" s="267">
        <f t="shared" si="4"/>
        <v>0</v>
      </c>
      <c r="G42" s="268">
        <f t="shared" si="5"/>
        <v>0</v>
      </c>
      <c r="H42" s="268">
        <f t="shared" si="6"/>
        <v>0</v>
      </c>
      <c r="I42" s="269">
        <f t="shared" si="7"/>
        <v>0</v>
      </c>
      <c r="J42" s="279"/>
      <c r="K42" s="268">
        <f t="shared" si="8"/>
        <v>0</v>
      </c>
      <c r="L42" s="271">
        <f t="shared" si="9"/>
        <v>0</v>
      </c>
      <c r="M42" s="274"/>
      <c r="N42" s="274"/>
      <c r="O42" s="274"/>
      <c r="P42" s="274"/>
      <c r="Q42" s="274"/>
      <c r="R42" s="274"/>
      <c r="S42" s="274"/>
      <c r="T42" s="274"/>
      <c r="U42" s="274"/>
      <c r="V42" s="274"/>
      <c r="W42" s="274"/>
      <c r="X42" s="274"/>
      <c r="Y42" s="274"/>
      <c r="Z42" s="280"/>
      <c r="AA42" s="274"/>
      <c r="AB42" s="268">
        <f t="shared" si="10"/>
        <v>0</v>
      </c>
      <c r="AC42" s="275">
        <f t="shared" si="11"/>
        <v>0</v>
      </c>
      <c r="AD42" s="269">
        <f t="shared" si="12"/>
        <v>0</v>
      </c>
      <c r="AE42" s="274"/>
      <c r="AF42" s="274"/>
      <c r="AG42" s="274"/>
      <c r="AH42" s="274"/>
      <c r="AI42" s="274"/>
      <c r="AJ42" s="274"/>
      <c r="AK42" s="274"/>
      <c r="AL42" s="274"/>
      <c r="AM42" s="274"/>
      <c r="AN42" s="274"/>
      <c r="AO42" s="274"/>
      <c r="AP42" s="274"/>
      <c r="AQ42" s="274"/>
      <c r="AR42" s="274"/>
      <c r="AS42" s="274"/>
      <c r="AT42" s="268" t="e">
        <f t="shared" si="13"/>
        <v>#N/A</v>
      </c>
      <c r="AU42" s="195">
        <f t="shared" si="14"/>
        <v>0</v>
      </c>
      <c r="AV42" s="271">
        <f t="shared" si="15"/>
        <v>0</v>
      </c>
      <c r="AW42" s="269">
        <f t="shared" si="16"/>
        <v>0</v>
      </c>
      <c r="AX42" s="276">
        <f t="shared" si="17"/>
        <v>0</v>
      </c>
      <c r="AY42" s="277"/>
      <c r="AZ42" s="277"/>
      <c r="BA42" s="277"/>
      <c r="BB42" s="277"/>
    </row>
    <row r="43" spans="1:54" s="278" customFormat="1" ht="18.75">
      <c r="A43" s="265"/>
      <c r="B43" s="266">
        <f t="shared" si="0"/>
        <v>0</v>
      </c>
      <c r="C43" s="267">
        <f t="shared" si="1"/>
        <v>0</v>
      </c>
      <c r="D43" s="267">
        <f t="shared" si="2"/>
        <v>0</v>
      </c>
      <c r="E43" s="267">
        <f t="shared" si="3"/>
        <v>0</v>
      </c>
      <c r="F43" s="267">
        <f t="shared" si="4"/>
        <v>0</v>
      </c>
      <c r="G43" s="268">
        <f t="shared" si="5"/>
        <v>0</v>
      </c>
      <c r="H43" s="268">
        <f t="shared" si="6"/>
        <v>0</v>
      </c>
      <c r="I43" s="269">
        <f t="shared" si="7"/>
        <v>0</v>
      </c>
      <c r="J43" s="279"/>
      <c r="K43" s="268">
        <f t="shared" si="8"/>
        <v>0</v>
      </c>
      <c r="L43" s="271">
        <f t="shared" si="9"/>
        <v>0</v>
      </c>
      <c r="M43" s="274"/>
      <c r="N43" s="274"/>
      <c r="O43" s="274"/>
      <c r="P43" s="274"/>
      <c r="Q43" s="274"/>
      <c r="R43" s="274"/>
      <c r="S43" s="274"/>
      <c r="T43" s="274"/>
      <c r="U43" s="274"/>
      <c r="V43" s="274"/>
      <c r="W43" s="274"/>
      <c r="X43" s="274"/>
      <c r="Y43" s="274"/>
      <c r="Z43" s="280"/>
      <c r="AA43" s="274"/>
      <c r="AB43" s="268">
        <f t="shared" si="10"/>
        <v>0</v>
      </c>
      <c r="AC43" s="275">
        <f t="shared" si="11"/>
        <v>0</v>
      </c>
      <c r="AD43" s="269">
        <f t="shared" si="12"/>
        <v>0</v>
      </c>
      <c r="AE43" s="274"/>
      <c r="AF43" s="274"/>
      <c r="AG43" s="274"/>
      <c r="AH43" s="274"/>
      <c r="AI43" s="274"/>
      <c r="AJ43" s="274"/>
      <c r="AK43" s="274"/>
      <c r="AL43" s="274"/>
      <c r="AM43" s="274"/>
      <c r="AN43" s="274"/>
      <c r="AO43" s="274"/>
      <c r="AP43" s="274"/>
      <c r="AQ43" s="274"/>
      <c r="AR43" s="274"/>
      <c r="AS43" s="274"/>
      <c r="AT43" s="268" t="e">
        <f t="shared" si="13"/>
        <v>#N/A</v>
      </c>
      <c r="AU43" s="195">
        <f t="shared" si="14"/>
        <v>0</v>
      </c>
      <c r="AV43" s="271">
        <f t="shared" si="15"/>
        <v>0</v>
      </c>
      <c r="AW43" s="269">
        <f t="shared" si="16"/>
        <v>0</v>
      </c>
      <c r="AX43" s="276">
        <f t="shared" si="17"/>
        <v>0</v>
      </c>
      <c r="AY43" s="277"/>
      <c r="AZ43" s="277"/>
      <c r="BA43" s="277"/>
      <c r="BB43" s="277"/>
    </row>
    <row r="44" spans="1:54" s="278" customFormat="1" ht="18.75">
      <c r="A44" s="265"/>
      <c r="B44" s="266">
        <f t="shared" si="0"/>
        <v>0</v>
      </c>
      <c r="C44" s="267">
        <f t="shared" si="1"/>
        <v>0</v>
      </c>
      <c r="D44" s="267">
        <f t="shared" si="2"/>
        <v>0</v>
      </c>
      <c r="E44" s="267">
        <f t="shared" si="3"/>
        <v>0</v>
      </c>
      <c r="F44" s="267">
        <f t="shared" si="4"/>
        <v>0</v>
      </c>
      <c r="G44" s="268">
        <f t="shared" si="5"/>
        <v>0</v>
      </c>
      <c r="H44" s="268">
        <f t="shared" si="6"/>
        <v>0</v>
      </c>
      <c r="I44" s="269">
        <f t="shared" si="7"/>
        <v>0</v>
      </c>
      <c r="J44" s="279"/>
      <c r="K44" s="268">
        <f t="shared" si="8"/>
        <v>0</v>
      </c>
      <c r="L44" s="271">
        <f t="shared" si="9"/>
        <v>0</v>
      </c>
      <c r="M44" s="274"/>
      <c r="N44" s="274"/>
      <c r="O44" s="274"/>
      <c r="P44" s="274"/>
      <c r="Q44" s="274"/>
      <c r="R44" s="274"/>
      <c r="S44" s="274"/>
      <c r="T44" s="274"/>
      <c r="U44" s="274"/>
      <c r="V44" s="274"/>
      <c r="W44" s="274"/>
      <c r="X44" s="274"/>
      <c r="Y44" s="274"/>
      <c r="Z44" s="280"/>
      <c r="AA44" s="274"/>
      <c r="AB44" s="268">
        <f t="shared" si="10"/>
        <v>0</v>
      </c>
      <c r="AC44" s="275">
        <f t="shared" si="11"/>
        <v>0</v>
      </c>
      <c r="AD44" s="269">
        <f t="shared" si="12"/>
        <v>0</v>
      </c>
      <c r="AE44" s="274"/>
      <c r="AF44" s="274"/>
      <c r="AG44" s="274"/>
      <c r="AH44" s="274"/>
      <c r="AI44" s="274"/>
      <c r="AJ44" s="274"/>
      <c r="AK44" s="274"/>
      <c r="AL44" s="274"/>
      <c r="AM44" s="274"/>
      <c r="AN44" s="274"/>
      <c r="AO44" s="274"/>
      <c r="AP44" s="274"/>
      <c r="AQ44" s="274"/>
      <c r="AR44" s="274"/>
      <c r="AS44" s="274"/>
      <c r="AT44" s="268" t="e">
        <f t="shared" si="13"/>
        <v>#N/A</v>
      </c>
      <c r="AU44" s="195">
        <f t="shared" si="14"/>
        <v>0</v>
      </c>
      <c r="AV44" s="271">
        <f t="shared" si="15"/>
        <v>0</v>
      </c>
      <c r="AW44" s="269">
        <f t="shared" si="16"/>
        <v>0</v>
      </c>
      <c r="AX44" s="276">
        <f t="shared" si="17"/>
        <v>0</v>
      </c>
      <c r="AY44" s="277"/>
      <c r="AZ44" s="277"/>
      <c r="BA44" s="277"/>
      <c r="BB44" s="277"/>
    </row>
    <row r="45" spans="1:54" s="278" customFormat="1" ht="18.75">
      <c r="A45" s="265"/>
      <c r="B45" s="266">
        <f t="shared" si="0"/>
        <v>0</v>
      </c>
      <c r="C45" s="267">
        <f t="shared" si="1"/>
        <v>0</v>
      </c>
      <c r="D45" s="267">
        <f t="shared" si="2"/>
        <v>0</v>
      </c>
      <c r="E45" s="267">
        <f t="shared" si="3"/>
        <v>0</v>
      </c>
      <c r="F45" s="267">
        <f t="shared" si="4"/>
        <v>0</v>
      </c>
      <c r="G45" s="268">
        <f t="shared" si="5"/>
        <v>0</v>
      </c>
      <c r="H45" s="268">
        <f t="shared" si="6"/>
        <v>0</v>
      </c>
      <c r="I45" s="269">
        <f t="shared" si="7"/>
        <v>0</v>
      </c>
      <c r="J45" s="279"/>
      <c r="K45" s="268">
        <f t="shared" si="8"/>
        <v>0</v>
      </c>
      <c r="L45" s="271">
        <f t="shared" si="9"/>
        <v>0</v>
      </c>
      <c r="M45" s="274"/>
      <c r="N45" s="274"/>
      <c r="O45" s="274"/>
      <c r="P45" s="274"/>
      <c r="Q45" s="274"/>
      <c r="R45" s="274"/>
      <c r="S45" s="274"/>
      <c r="T45" s="274"/>
      <c r="U45" s="274"/>
      <c r="V45" s="274"/>
      <c r="W45" s="274"/>
      <c r="X45" s="274"/>
      <c r="Y45" s="274"/>
      <c r="Z45" s="280"/>
      <c r="AA45" s="274"/>
      <c r="AB45" s="268">
        <f t="shared" si="10"/>
        <v>0</v>
      </c>
      <c r="AC45" s="275">
        <f t="shared" si="11"/>
        <v>0</v>
      </c>
      <c r="AD45" s="269">
        <f t="shared" si="12"/>
        <v>0</v>
      </c>
      <c r="AE45" s="274"/>
      <c r="AF45" s="274"/>
      <c r="AG45" s="274"/>
      <c r="AH45" s="274"/>
      <c r="AI45" s="274"/>
      <c r="AJ45" s="274"/>
      <c r="AK45" s="274"/>
      <c r="AL45" s="274"/>
      <c r="AM45" s="274"/>
      <c r="AN45" s="274"/>
      <c r="AO45" s="274"/>
      <c r="AP45" s="274"/>
      <c r="AQ45" s="274"/>
      <c r="AR45" s="274"/>
      <c r="AS45" s="274"/>
      <c r="AT45" s="268" t="e">
        <f t="shared" si="13"/>
        <v>#N/A</v>
      </c>
      <c r="AU45" s="195">
        <f t="shared" si="14"/>
        <v>0</v>
      </c>
      <c r="AV45" s="271">
        <f t="shared" si="15"/>
        <v>0</v>
      </c>
      <c r="AW45" s="269">
        <f t="shared" si="16"/>
        <v>0</v>
      </c>
      <c r="AX45" s="276">
        <f t="shared" si="17"/>
        <v>0</v>
      </c>
      <c r="AY45" s="277"/>
      <c r="AZ45" s="277"/>
      <c r="BA45" s="277"/>
      <c r="BB45" s="277"/>
    </row>
    <row r="46" spans="1:54" s="278" customFormat="1" ht="18.75">
      <c r="A46" s="265"/>
      <c r="B46" s="266">
        <f t="shared" si="0"/>
        <v>0</v>
      </c>
      <c r="C46" s="267">
        <f t="shared" si="1"/>
        <v>0</v>
      </c>
      <c r="D46" s="267">
        <f t="shared" si="2"/>
        <v>0</v>
      </c>
      <c r="E46" s="267">
        <f t="shared" si="3"/>
        <v>0</v>
      </c>
      <c r="F46" s="267">
        <f t="shared" si="4"/>
        <v>0</v>
      </c>
      <c r="G46" s="268">
        <f t="shared" si="5"/>
        <v>0</v>
      </c>
      <c r="H46" s="268">
        <f t="shared" si="6"/>
        <v>0</v>
      </c>
      <c r="I46" s="269">
        <f t="shared" si="7"/>
        <v>0</v>
      </c>
      <c r="J46" s="279"/>
      <c r="K46" s="268">
        <f t="shared" si="8"/>
        <v>0</v>
      </c>
      <c r="L46" s="271">
        <f t="shared" si="9"/>
        <v>0</v>
      </c>
      <c r="M46" s="274"/>
      <c r="N46" s="274"/>
      <c r="O46" s="274"/>
      <c r="P46" s="274"/>
      <c r="Q46" s="274"/>
      <c r="R46" s="274"/>
      <c r="S46" s="274"/>
      <c r="T46" s="274"/>
      <c r="U46" s="274"/>
      <c r="V46" s="274"/>
      <c r="W46" s="274"/>
      <c r="X46" s="274"/>
      <c r="Y46" s="274"/>
      <c r="Z46" s="280"/>
      <c r="AA46" s="274"/>
      <c r="AB46" s="268">
        <f t="shared" si="10"/>
        <v>0</v>
      </c>
      <c r="AC46" s="275">
        <f t="shared" si="11"/>
        <v>0</v>
      </c>
      <c r="AD46" s="269">
        <f t="shared" si="12"/>
        <v>0</v>
      </c>
      <c r="AE46" s="274"/>
      <c r="AF46" s="274"/>
      <c r="AG46" s="274"/>
      <c r="AH46" s="274"/>
      <c r="AI46" s="274"/>
      <c r="AJ46" s="274"/>
      <c r="AK46" s="274"/>
      <c r="AL46" s="274"/>
      <c r="AM46" s="274"/>
      <c r="AN46" s="274"/>
      <c r="AO46" s="274"/>
      <c r="AP46" s="274"/>
      <c r="AQ46" s="274"/>
      <c r="AR46" s="274"/>
      <c r="AS46" s="274"/>
      <c r="AT46" s="268" t="e">
        <f t="shared" si="13"/>
        <v>#N/A</v>
      </c>
      <c r="AU46" s="195">
        <f t="shared" si="14"/>
        <v>0</v>
      </c>
      <c r="AV46" s="271">
        <f t="shared" si="15"/>
        <v>0</v>
      </c>
      <c r="AW46" s="269">
        <f t="shared" si="16"/>
        <v>0</v>
      </c>
      <c r="AX46" s="276">
        <f t="shared" si="17"/>
        <v>0</v>
      </c>
      <c r="AY46" s="277"/>
      <c r="AZ46" s="277"/>
      <c r="BA46" s="277"/>
      <c r="BB46" s="277"/>
    </row>
    <row r="47" spans="1:54" s="278" customFormat="1" ht="18.75">
      <c r="A47" s="265"/>
      <c r="B47" s="266">
        <f t="shared" si="0"/>
        <v>0</v>
      </c>
      <c r="C47" s="267">
        <f t="shared" si="1"/>
        <v>0</v>
      </c>
      <c r="D47" s="267">
        <f t="shared" si="2"/>
        <v>0</v>
      </c>
      <c r="E47" s="267">
        <f t="shared" si="3"/>
        <v>0</v>
      </c>
      <c r="F47" s="267">
        <f t="shared" si="4"/>
        <v>0</v>
      </c>
      <c r="G47" s="268">
        <f t="shared" si="5"/>
        <v>0</v>
      </c>
      <c r="H47" s="268">
        <f t="shared" si="6"/>
        <v>0</v>
      </c>
      <c r="I47" s="269">
        <f t="shared" si="7"/>
        <v>0</v>
      </c>
      <c r="J47" s="279"/>
      <c r="K47" s="268">
        <f t="shared" si="8"/>
        <v>0</v>
      </c>
      <c r="L47" s="271">
        <f t="shared" si="9"/>
        <v>0</v>
      </c>
      <c r="M47" s="274"/>
      <c r="N47" s="274"/>
      <c r="O47" s="274"/>
      <c r="P47" s="274"/>
      <c r="Q47" s="274"/>
      <c r="R47" s="274"/>
      <c r="S47" s="274"/>
      <c r="T47" s="274"/>
      <c r="U47" s="274"/>
      <c r="V47" s="274"/>
      <c r="W47" s="274"/>
      <c r="X47" s="274"/>
      <c r="Y47" s="274"/>
      <c r="Z47" s="280"/>
      <c r="AA47" s="274"/>
      <c r="AB47" s="268">
        <f t="shared" si="10"/>
        <v>0</v>
      </c>
      <c r="AC47" s="275">
        <f t="shared" si="11"/>
        <v>0</v>
      </c>
      <c r="AD47" s="269">
        <f t="shared" si="12"/>
        <v>0</v>
      </c>
      <c r="AE47" s="274"/>
      <c r="AF47" s="274"/>
      <c r="AG47" s="274"/>
      <c r="AH47" s="274"/>
      <c r="AI47" s="274"/>
      <c r="AJ47" s="274"/>
      <c r="AK47" s="274"/>
      <c r="AL47" s="274"/>
      <c r="AM47" s="274"/>
      <c r="AN47" s="274"/>
      <c r="AO47" s="274"/>
      <c r="AP47" s="274"/>
      <c r="AQ47" s="274"/>
      <c r="AR47" s="274"/>
      <c r="AS47" s="274"/>
      <c r="AT47" s="268" t="e">
        <f t="shared" si="13"/>
        <v>#N/A</v>
      </c>
      <c r="AU47" s="195">
        <f t="shared" si="14"/>
        <v>0</v>
      </c>
      <c r="AV47" s="271">
        <f t="shared" si="15"/>
        <v>0</v>
      </c>
      <c r="AW47" s="269">
        <f t="shared" si="16"/>
        <v>0</v>
      </c>
      <c r="AX47" s="276">
        <f t="shared" si="17"/>
        <v>0</v>
      </c>
      <c r="AY47" s="277"/>
      <c r="AZ47" s="277"/>
      <c r="BA47" s="277"/>
      <c r="BB47" s="277"/>
    </row>
    <row r="48" spans="1:54" s="278" customFormat="1" ht="18.75">
      <c r="A48" s="265"/>
      <c r="B48" s="266">
        <f t="shared" si="0"/>
        <v>0</v>
      </c>
      <c r="C48" s="267">
        <f t="shared" si="1"/>
        <v>0</v>
      </c>
      <c r="D48" s="267">
        <f t="shared" si="2"/>
        <v>0</v>
      </c>
      <c r="E48" s="267">
        <f t="shared" si="3"/>
        <v>0</v>
      </c>
      <c r="F48" s="267">
        <f t="shared" si="4"/>
        <v>0</v>
      </c>
      <c r="G48" s="268">
        <f t="shared" si="5"/>
        <v>0</v>
      </c>
      <c r="H48" s="268">
        <f t="shared" si="6"/>
        <v>0</v>
      </c>
      <c r="I48" s="269">
        <f t="shared" si="7"/>
        <v>0</v>
      </c>
      <c r="J48" s="279"/>
      <c r="K48" s="268">
        <f t="shared" si="8"/>
        <v>0</v>
      </c>
      <c r="L48" s="271">
        <f t="shared" si="9"/>
        <v>0</v>
      </c>
      <c r="M48" s="274"/>
      <c r="N48" s="274"/>
      <c r="O48" s="274"/>
      <c r="P48" s="274"/>
      <c r="Q48" s="274"/>
      <c r="R48" s="274"/>
      <c r="S48" s="274"/>
      <c r="T48" s="274"/>
      <c r="U48" s="274"/>
      <c r="V48" s="274"/>
      <c r="W48" s="274"/>
      <c r="X48" s="274"/>
      <c r="Y48" s="274"/>
      <c r="Z48" s="280"/>
      <c r="AA48" s="274"/>
      <c r="AB48" s="268">
        <f t="shared" si="10"/>
        <v>0</v>
      </c>
      <c r="AC48" s="275">
        <f t="shared" si="11"/>
        <v>0</v>
      </c>
      <c r="AD48" s="269">
        <f t="shared" si="12"/>
        <v>0</v>
      </c>
      <c r="AE48" s="274"/>
      <c r="AF48" s="274"/>
      <c r="AG48" s="274"/>
      <c r="AH48" s="274"/>
      <c r="AI48" s="274"/>
      <c r="AJ48" s="274"/>
      <c r="AK48" s="274"/>
      <c r="AL48" s="274"/>
      <c r="AM48" s="274"/>
      <c r="AN48" s="274"/>
      <c r="AO48" s="274"/>
      <c r="AP48" s="274"/>
      <c r="AQ48" s="274"/>
      <c r="AR48" s="274"/>
      <c r="AS48" s="274"/>
      <c r="AT48" s="268" t="e">
        <f t="shared" si="13"/>
        <v>#N/A</v>
      </c>
      <c r="AU48" s="195">
        <f t="shared" si="14"/>
        <v>0</v>
      </c>
      <c r="AV48" s="271">
        <f t="shared" si="15"/>
        <v>0</v>
      </c>
      <c r="AW48" s="269">
        <f t="shared" si="16"/>
        <v>0</v>
      </c>
      <c r="AX48" s="276">
        <f t="shared" si="17"/>
        <v>0</v>
      </c>
      <c r="AY48" s="277"/>
      <c r="AZ48" s="277"/>
      <c r="BA48" s="277"/>
      <c r="BB48" s="277"/>
    </row>
    <row r="49" spans="1:54" s="278" customFormat="1" ht="18.75">
      <c r="A49" s="265"/>
      <c r="B49" s="266">
        <f t="shared" si="0"/>
        <v>0</v>
      </c>
      <c r="C49" s="267">
        <f t="shared" si="1"/>
        <v>0</v>
      </c>
      <c r="D49" s="267">
        <f t="shared" si="2"/>
        <v>0</v>
      </c>
      <c r="E49" s="267">
        <f t="shared" si="3"/>
        <v>0</v>
      </c>
      <c r="F49" s="267">
        <f t="shared" si="4"/>
        <v>0</v>
      </c>
      <c r="G49" s="268">
        <f t="shared" si="5"/>
        <v>0</v>
      </c>
      <c r="H49" s="268">
        <f t="shared" si="6"/>
        <v>0</v>
      </c>
      <c r="I49" s="269">
        <f t="shared" si="7"/>
        <v>0</v>
      </c>
      <c r="J49" s="279"/>
      <c r="K49" s="268">
        <f t="shared" si="8"/>
        <v>0</v>
      </c>
      <c r="L49" s="271">
        <f t="shared" si="9"/>
        <v>0</v>
      </c>
      <c r="M49" s="274"/>
      <c r="N49" s="274"/>
      <c r="O49" s="274"/>
      <c r="P49" s="274"/>
      <c r="Q49" s="274"/>
      <c r="R49" s="274"/>
      <c r="S49" s="274"/>
      <c r="T49" s="274"/>
      <c r="U49" s="274"/>
      <c r="V49" s="274"/>
      <c r="W49" s="274"/>
      <c r="X49" s="274"/>
      <c r="Y49" s="274"/>
      <c r="Z49" s="280"/>
      <c r="AA49" s="274"/>
      <c r="AB49" s="268">
        <f t="shared" si="10"/>
        <v>0</v>
      </c>
      <c r="AC49" s="275">
        <f t="shared" si="11"/>
        <v>0</v>
      </c>
      <c r="AD49" s="269">
        <f t="shared" si="12"/>
        <v>0</v>
      </c>
      <c r="AE49" s="274"/>
      <c r="AF49" s="274"/>
      <c r="AG49" s="274"/>
      <c r="AH49" s="274"/>
      <c r="AI49" s="274"/>
      <c r="AJ49" s="274"/>
      <c r="AK49" s="274"/>
      <c r="AL49" s="274"/>
      <c r="AM49" s="274"/>
      <c r="AN49" s="274"/>
      <c r="AO49" s="274"/>
      <c r="AP49" s="274"/>
      <c r="AQ49" s="274"/>
      <c r="AR49" s="274"/>
      <c r="AS49" s="274"/>
      <c r="AT49" s="268" t="e">
        <f t="shared" si="13"/>
        <v>#N/A</v>
      </c>
      <c r="AU49" s="195">
        <f t="shared" si="14"/>
        <v>0</v>
      </c>
      <c r="AV49" s="271">
        <f t="shared" si="15"/>
        <v>0</v>
      </c>
      <c r="AW49" s="269">
        <f t="shared" si="16"/>
        <v>0</v>
      </c>
      <c r="AX49" s="276">
        <f t="shared" si="17"/>
        <v>0</v>
      </c>
      <c r="AY49" s="277"/>
      <c r="AZ49" s="277"/>
      <c r="BA49" s="277"/>
      <c r="BB49" s="277"/>
    </row>
    <row r="50" spans="1:54" s="278" customFormat="1" ht="18.75">
      <c r="A50" s="265"/>
      <c r="B50" s="266">
        <f t="shared" si="0"/>
        <v>0</v>
      </c>
      <c r="C50" s="267">
        <f t="shared" si="1"/>
        <v>0</v>
      </c>
      <c r="D50" s="267">
        <f t="shared" si="2"/>
        <v>0</v>
      </c>
      <c r="E50" s="267">
        <f t="shared" si="3"/>
        <v>0</v>
      </c>
      <c r="F50" s="267">
        <f t="shared" si="4"/>
        <v>0</v>
      </c>
      <c r="G50" s="268">
        <f t="shared" si="5"/>
        <v>0</v>
      </c>
      <c r="H50" s="268">
        <f t="shared" si="6"/>
        <v>0</v>
      </c>
      <c r="I50" s="269">
        <f t="shared" si="7"/>
        <v>0</v>
      </c>
      <c r="J50" s="279"/>
      <c r="K50" s="268">
        <f t="shared" si="8"/>
        <v>0</v>
      </c>
      <c r="L50" s="271">
        <f t="shared" si="9"/>
        <v>0</v>
      </c>
      <c r="M50" s="274"/>
      <c r="N50" s="274"/>
      <c r="O50" s="274"/>
      <c r="P50" s="274"/>
      <c r="Q50" s="274"/>
      <c r="R50" s="274"/>
      <c r="S50" s="274"/>
      <c r="T50" s="274"/>
      <c r="U50" s="274"/>
      <c r="V50" s="274"/>
      <c r="W50" s="274"/>
      <c r="X50" s="274"/>
      <c r="Y50" s="274"/>
      <c r="Z50" s="280"/>
      <c r="AA50" s="274"/>
      <c r="AB50" s="268">
        <f t="shared" si="10"/>
        <v>0</v>
      </c>
      <c r="AC50" s="275">
        <f t="shared" si="11"/>
        <v>0</v>
      </c>
      <c r="AD50" s="269">
        <f t="shared" si="12"/>
        <v>0</v>
      </c>
      <c r="AE50" s="274"/>
      <c r="AF50" s="274"/>
      <c r="AG50" s="274"/>
      <c r="AH50" s="274"/>
      <c r="AI50" s="274"/>
      <c r="AJ50" s="274"/>
      <c r="AK50" s="274"/>
      <c r="AL50" s="274"/>
      <c r="AM50" s="274"/>
      <c r="AN50" s="274"/>
      <c r="AO50" s="274"/>
      <c r="AP50" s="274"/>
      <c r="AQ50" s="274"/>
      <c r="AR50" s="274"/>
      <c r="AS50" s="274"/>
      <c r="AT50" s="268" t="e">
        <f t="shared" si="13"/>
        <v>#N/A</v>
      </c>
      <c r="AU50" s="195">
        <f t="shared" si="14"/>
        <v>0</v>
      </c>
      <c r="AV50" s="271">
        <f t="shared" si="15"/>
        <v>0</v>
      </c>
      <c r="AW50" s="269">
        <f t="shared" si="16"/>
        <v>0</v>
      </c>
      <c r="AX50" s="276">
        <f t="shared" si="17"/>
        <v>0</v>
      </c>
      <c r="AY50" s="277"/>
      <c r="AZ50" s="277"/>
      <c r="BA50" s="277"/>
      <c r="BB50" s="277"/>
    </row>
    <row r="51" spans="1:54" s="278" customFormat="1" ht="18.75">
      <c r="A51" s="265"/>
      <c r="B51" s="266">
        <f t="shared" si="0"/>
        <v>0</v>
      </c>
      <c r="C51" s="267">
        <f t="shared" si="1"/>
        <v>0</v>
      </c>
      <c r="D51" s="267">
        <f t="shared" si="2"/>
        <v>0</v>
      </c>
      <c r="E51" s="267">
        <f t="shared" si="3"/>
        <v>0</v>
      </c>
      <c r="F51" s="267">
        <f t="shared" si="4"/>
        <v>0</v>
      </c>
      <c r="G51" s="268">
        <f t="shared" si="5"/>
        <v>0</v>
      </c>
      <c r="H51" s="268">
        <f t="shared" si="6"/>
        <v>0</v>
      </c>
      <c r="I51" s="269">
        <f t="shared" si="7"/>
        <v>0</v>
      </c>
      <c r="J51" s="279"/>
      <c r="K51" s="268">
        <f t="shared" si="8"/>
        <v>0</v>
      </c>
      <c r="L51" s="271">
        <f t="shared" si="9"/>
        <v>0</v>
      </c>
      <c r="M51" s="274"/>
      <c r="N51" s="274"/>
      <c r="O51" s="274"/>
      <c r="P51" s="274"/>
      <c r="Q51" s="274"/>
      <c r="R51" s="274"/>
      <c r="S51" s="274"/>
      <c r="T51" s="274"/>
      <c r="U51" s="274"/>
      <c r="V51" s="274"/>
      <c r="W51" s="274"/>
      <c r="X51" s="274"/>
      <c r="Y51" s="274"/>
      <c r="Z51" s="280"/>
      <c r="AA51" s="274"/>
      <c r="AB51" s="268">
        <f t="shared" si="10"/>
        <v>0</v>
      </c>
      <c r="AC51" s="275">
        <f t="shared" si="11"/>
        <v>0</v>
      </c>
      <c r="AD51" s="269">
        <f t="shared" si="12"/>
        <v>0</v>
      </c>
      <c r="AE51" s="274"/>
      <c r="AF51" s="274"/>
      <c r="AG51" s="274"/>
      <c r="AH51" s="274"/>
      <c r="AI51" s="274"/>
      <c r="AJ51" s="274"/>
      <c r="AK51" s="274"/>
      <c r="AL51" s="274"/>
      <c r="AM51" s="274"/>
      <c r="AN51" s="274"/>
      <c r="AO51" s="274"/>
      <c r="AP51" s="274"/>
      <c r="AQ51" s="274"/>
      <c r="AR51" s="274"/>
      <c r="AS51" s="274"/>
      <c r="AT51" s="268" t="e">
        <f t="shared" si="13"/>
        <v>#N/A</v>
      </c>
      <c r="AU51" s="195">
        <f t="shared" si="14"/>
        <v>0</v>
      </c>
      <c r="AV51" s="271">
        <f t="shared" si="15"/>
        <v>0</v>
      </c>
      <c r="AW51" s="269">
        <f t="shared" si="16"/>
        <v>0</v>
      </c>
      <c r="AX51" s="276">
        <f t="shared" si="17"/>
        <v>0</v>
      </c>
      <c r="AY51" s="277"/>
      <c r="AZ51" s="277"/>
      <c r="BA51" s="277"/>
      <c r="BB51" s="277"/>
    </row>
    <row r="52" spans="1:54" s="278" customFormat="1" ht="18.75">
      <c r="A52" s="265"/>
      <c r="B52" s="266">
        <f t="shared" si="0"/>
        <v>0</v>
      </c>
      <c r="C52" s="267">
        <f t="shared" si="1"/>
        <v>0</v>
      </c>
      <c r="D52" s="267">
        <f t="shared" si="2"/>
        <v>0</v>
      </c>
      <c r="E52" s="267">
        <f t="shared" si="3"/>
        <v>0</v>
      </c>
      <c r="F52" s="267">
        <f t="shared" si="4"/>
        <v>0</v>
      </c>
      <c r="G52" s="268">
        <f t="shared" si="5"/>
        <v>0</v>
      </c>
      <c r="H52" s="268">
        <f t="shared" si="6"/>
        <v>0</v>
      </c>
      <c r="I52" s="269">
        <f t="shared" si="7"/>
        <v>0</v>
      </c>
      <c r="J52" s="279"/>
      <c r="K52" s="268">
        <f t="shared" si="8"/>
        <v>0</v>
      </c>
      <c r="L52" s="271">
        <f t="shared" si="9"/>
        <v>0</v>
      </c>
      <c r="M52" s="274"/>
      <c r="N52" s="274"/>
      <c r="O52" s="274"/>
      <c r="P52" s="274"/>
      <c r="Q52" s="274"/>
      <c r="R52" s="274"/>
      <c r="S52" s="274"/>
      <c r="T52" s="274"/>
      <c r="U52" s="274"/>
      <c r="V52" s="274"/>
      <c r="W52" s="274"/>
      <c r="X52" s="274"/>
      <c r="Y52" s="274"/>
      <c r="Z52" s="280"/>
      <c r="AA52" s="274"/>
      <c r="AB52" s="268">
        <f t="shared" si="10"/>
        <v>0</v>
      </c>
      <c r="AC52" s="275">
        <f t="shared" si="11"/>
        <v>0</v>
      </c>
      <c r="AD52" s="269">
        <f t="shared" si="12"/>
        <v>0</v>
      </c>
      <c r="AE52" s="274"/>
      <c r="AF52" s="274"/>
      <c r="AG52" s="274"/>
      <c r="AH52" s="274"/>
      <c r="AI52" s="274"/>
      <c r="AJ52" s="274"/>
      <c r="AK52" s="274"/>
      <c r="AL52" s="274"/>
      <c r="AM52" s="274"/>
      <c r="AN52" s="274"/>
      <c r="AO52" s="274"/>
      <c r="AP52" s="274"/>
      <c r="AQ52" s="274"/>
      <c r="AR52" s="274"/>
      <c r="AS52" s="274"/>
      <c r="AT52" s="268" t="e">
        <f t="shared" si="13"/>
        <v>#N/A</v>
      </c>
      <c r="AU52" s="195">
        <f t="shared" si="14"/>
        <v>0</v>
      </c>
      <c r="AV52" s="271">
        <f t="shared" si="15"/>
        <v>0</v>
      </c>
      <c r="AW52" s="269">
        <f t="shared" si="16"/>
        <v>0</v>
      </c>
      <c r="AX52" s="276">
        <f t="shared" si="17"/>
        <v>0</v>
      </c>
      <c r="AY52" s="277"/>
      <c r="AZ52" s="277"/>
      <c r="BA52" s="277"/>
      <c r="BB52" s="277"/>
    </row>
    <row r="53" spans="1:54" s="278" customFormat="1" ht="18.75">
      <c r="A53" s="265"/>
      <c r="B53" s="266">
        <f t="shared" si="0"/>
        <v>0</v>
      </c>
      <c r="C53" s="267">
        <f t="shared" si="1"/>
        <v>0</v>
      </c>
      <c r="D53" s="267">
        <f t="shared" si="2"/>
        <v>0</v>
      </c>
      <c r="E53" s="267">
        <f t="shared" si="3"/>
        <v>0</v>
      </c>
      <c r="F53" s="267">
        <f t="shared" si="4"/>
        <v>0</v>
      </c>
      <c r="G53" s="268">
        <f t="shared" si="5"/>
        <v>0</v>
      </c>
      <c r="H53" s="268">
        <f t="shared" si="6"/>
        <v>0</v>
      </c>
      <c r="I53" s="269">
        <f t="shared" si="7"/>
        <v>0</v>
      </c>
      <c r="J53" s="279"/>
      <c r="K53" s="268">
        <f t="shared" si="8"/>
        <v>0</v>
      </c>
      <c r="L53" s="271">
        <f t="shared" si="9"/>
        <v>0</v>
      </c>
      <c r="M53" s="274"/>
      <c r="N53" s="274"/>
      <c r="O53" s="274"/>
      <c r="P53" s="274"/>
      <c r="Q53" s="274"/>
      <c r="R53" s="274"/>
      <c r="S53" s="274"/>
      <c r="T53" s="274"/>
      <c r="U53" s="274"/>
      <c r="V53" s="274"/>
      <c r="W53" s="274"/>
      <c r="X53" s="274"/>
      <c r="Y53" s="274"/>
      <c r="Z53" s="280"/>
      <c r="AA53" s="274"/>
      <c r="AB53" s="268">
        <f t="shared" si="10"/>
        <v>0</v>
      </c>
      <c r="AC53" s="275">
        <f t="shared" si="11"/>
        <v>0</v>
      </c>
      <c r="AD53" s="269">
        <f t="shared" si="12"/>
        <v>0</v>
      </c>
      <c r="AE53" s="274"/>
      <c r="AF53" s="274"/>
      <c r="AG53" s="274"/>
      <c r="AH53" s="274"/>
      <c r="AI53" s="274"/>
      <c r="AJ53" s="274"/>
      <c r="AK53" s="274"/>
      <c r="AL53" s="274"/>
      <c r="AM53" s="274"/>
      <c r="AN53" s="274"/>
      <c r="AO53" s="274"/>
      <c r="AP53" s="274"/>
      <c r="AQ53" s="274"/>
      <c r="AR53" s="274"/>
      <c r="AS53" s="274"/>
      <c r="AT53" s="268" t="e">
        <f t="shared" si="13"/>
        <v>#N/A</v>
      </c>
      <c r="AU53" s="195">
        <f t="shared" si="14"/>
        <v>0</v>
      </c>
      <c r="AV53" s="271">
        <f t="shared" si="15"/>
        <v>0</v>
      </c>
      <c r="AW53" s="269">
        <f t="shared" si="16"/>
        <v>0</v>
      </c>
      <c r="AX53" s="276">
        <f t="shared" si="17"/>
        <v>0</v>
      </c>
      <c r="AY53" s="277"/>
      <c r="AZ53" s="277"/>
      <c r="BA53" s="277"/>
      <c r="BB53" s="277"/>
    </row>
    <row r="54" spans="1:54" s="278" customFormat="1" ht="18.75">
      <c r="A54" s="265"/>
      <c r="B54" s="266">
        <f t="shared" si="0"/>
        <v>0</v>
      </c>
      <c r="C54" s="267">
        <f t="shared" si="1"/>
        <v>0</v>
      </c>
      <c r="D54" s="267">
        <f t="shared" si="2"/>
        <v>0</v>
      </c>
      <c r="E54" s="267">
        <f t="shared" si="3"/>
        <v>0</v>
      </c>
      <c r="F54" s="267">
        <f t="shared" si="4"/>
        <v>0</v>
      </c>
      <c r="G54" s="268">
        <f t="shared" si="5"/>
        <v>0</v>
      </c>
      <c r="H54" s="268">
        <f t="shared" si="6"/>
        <v>0</v>
      </c>
      <c r="I54" s="269">
        <f t="shared" si="7"/>
        <v>0</v>
      </c>
      <c r="J54" s="279"/>
      <c r="K54" s="268">
        <f t="shared" si="8"/>
        <v>0</v>
      </c>
      <c r="L54" s="271">
        <f t="shared" si="9"/>
        <v>0</v>
      </c>
      <c r="M54" s="274"/>
      <c r="N54" s="274"/>
      <c r="O54" s="274"/>
      <c r="P54" s="274"/>
      <c r="Q54" s="274"/>
      <c r="R54" s="274"/>
      <c r="S54" s="274"/>
      <c r="T54" s="274"/>
      <c r="U54" s="274"/>
      <c r="V54" s="274"/>
      <c r="W54" s="274"/>
      <c r="X54" s="274"/>
      <c r="Y54" s="274"/>
      <c r="Z54" s="280"/>
      <c r="AA54" s="274"/>
      <c r="AB54" s="268">
        <f t="shared" si="10"/>
        <v>0</v>
      </c>
      <c r="AC54" s="275">
        <f t="shared" si="11"/>
        <v>0</v>
      </c>
      <c r="AD54" s="269">
        <f t="shared" si="12"/>
        <v>0</v>
      </c>
      <c r="AE54" s="274"/>
      <c r="AF54" s="274"/>
      <c r="AG54" s="274"/>
      <c r="AH54" s="274"/>
      <c r="AI54" s="274"/>
      <c r="AJ54" s="274"/>
      <c r="AK54" s="274"/>
      <c r="AL54" s="274"/>
      <c r="AM54" s="274"/>
      <c r="AN54" s="274"/>
      <c r="AO54" s="274"/>
      <c r="AP54" s="274"/>
      <c r="AQ54" s="274"/>
      <c r="AR54" s="274"/>
      <c r="AS54" s="274"/>
      <c r="AT54" s="268" t="e">
        <f t="shared" si="13"/>
        <v>#N/A</v>
      </c>
      <c r="AU54" s="195">
        <f t="shared" si="14"/>
        <v>0</v>
      </c>
      <c r="AV54" s="271">
        <f t="shared" si="15"/>
        <v>0</v>
      </c>
      <c r="AW54" s="269">
        <f t="shared" si="16"/>
        <v>0</v>
      </c>
      <c r="AX54" s="276">
        <f t="shared" si="17"/>
        <v>0</v>
      </c>
      <c r="AY54" s="277"/>
      <c r="AZ54" s="277"/>
      <c r="BA54" s="277"/>
      <c r="BB54" s="277"/>
    </row>
    <row r="55" spans="1:54" s="278" customFormat="1" ht="18.75">
      <c r="A55" s="265"/>
      <c r="B55" s="266">
        <f t="shared" si="0"/>
        <v>0</v>
      </c>
      <c r="C55" s="267">
        <f t="shared" si="1"/>
        <v>0</v>
      </c>
      <c r="D55" s="267">
        <f t="shared" si="2"/>
        <v>0</v>
      </c>
      <c r="E55" s="267">
        <f t="shared" si="3"/>
        <v>0</v>
      </c>
      <c r="F55" s="267">
        <f t="shared" si="4"/>
        <v>0</v>
      </c>
      <c r="G55" s="268">
        <f t="shared" si="5"/>
        <v>0</v>
      </c>
      <c r="H55" s="268">
        <f t="shared" si="6"/>
        <v>0</v>
      </c>
      <c r="I55" s="269">
        <f t="shared" si="7"/>
        <v>0</v>
      </c>
      <c r="J55" s="279"/>
      <c r="K55" s="268">
        <f t="shared" si="8"/>
        <v>0</v>
      </c>
      <c r="L55" s="271">
        <f t="shared" si="9"/>
        <v>0</v>
      </c>
      <c r="M55" s="274"/>
      <c r="N55" s="274"/>
      <c r="O55" s="274"/>
      <c r="P55" s="274"/>
      <c r="Q55" s="274"/>
      <c r="R55" s="274"/>
      <c r="S55" s="274"/>
      <c r="T55" s="274"/>
      <c r="U55" s="274"/>
      <c r="V55" s="274"/>
      <c r="W55" s="274"/>
      <c r="X55" s="274"/>
      <c r="Y55" s="274"/>
      <c r="Z55" s="280"/>
      <c r="AA55" s="274"/>
      <c r="AB55" s="268">
        <f t="shared" si="10"/>
        <v>0</v>
      </c>
      <c r="AC55" s="275">
        <f t="shared" si="11"/>
        <v>0</v>
      </c>
      <c r="AD55" s="269">
        <f t="shared" si="12"/>
        <v>0</v>
      </c>
      <c r="AE55" s="274"/>
      <c r="AF55" s="274"/>
      <c r="AG55" s="274"/>
      <c r="AH55" s="274"/>
      <c r="AI55" s="274"/>
      <c r="AJ55" s="274"/>
      <c r="AK55" s="274"/>
      <c r="AL55" s="274"/>
      <c r="AM55" s="274"/>
      <c r="AN55" s="274"/>
      <c r="AO55" s="274"/>
      <c r="AP55" s="274"/>
      <c r="AQ55" s="274"/>
      <c r="AR55" s="274"/>
      <c r="AS55" s="274"/>
      <c r="AT55" s="268" t="e">
        <f t="shared" si="13"/>
        <v>#N/A</v>
      </c>
      <c r="AU55" s="195">
        <f t="shared" si="14"/>
        <v>0</v>
      </c>
      <c r="AV55" s="271">
        <f t="shared" si="15"/>
        <v>0</v>
      </c>
      <c r="AW55" s="269">
        <f t="shared" si="16"/>
        <v>0</v>
      </c>
      <c r="AX55" s="276">
        <f t="shared" si="17"/>
        <v>0</v>
      </c>
      <c r="AY55" s="277"/>
      <c r="AZ55" s="277"/>
      <c r="BA55" s="277"/>
      <c r="BB55" s="277"/>
    </row>
    <row r="56" spans="1:54" s="278" customFormat="1" ht="18.75">
      <c r="A56" s="265"/>
      <c r="B56" s="266">
        <f t="shared" si="0"/>
        <v>0</v>
      </c>
      <c r="C56" s="267">
        <f t="shared" si="1"/>
        <v>0</v>
      </c>
      <c r="D56" s="267">
        <f t="shared" si="2"/>
        <v>0</v>
      </c>
      <c r="E56" s="267">
        <f t="shared" si="3"/>
        <v>0</v>
      </c>
      <c r="F56" s="267">
        <f t="shared" si="4"/>
        <v>0</v>
      </c>
      <c r="G56" s="268">
        <f t="shared" si="5"/>
        <v>0</v>
      </c>
      <c r="H56" s="268">
        <f t="shared" si="6"/>
        <v>0</v>
      </c>
      <c r="I56" s="269">
        <f t="shared" si="7"/>
        <v>0</v>
      </c>
      <c r="J56" s="279"/>
      <c r="K56" s="268">
        <f t="shared" si="8"/>
        <v>0</v>
      </c>
      <c r="L56" s="271">
        <f t="shared" si="9"/>
        <v>0</v>
      </c>
      <c r="M56" s="274"/>
      <c r="N56" s="274"/>
      <c r="O56" s="274"/>
      <c r="P56" s="274"/>
      <c r="Q56" s="274"/>
      <c r="R56" s="274"/>
      <c r="S56" s="274"/>
      <c r="T56" s="274"/>
      <c r="U56" s="274"/>
      <c r="V56" s="274"/>
      <c r="W56" s="274"/>
      <c r="X56" s="274"/>
      <c r="Y56" s="274"/>
      <c r="Z56" s="280"/>
      <c r="AA56" s="274"/>
      <c r="AB56" s="268">
        <f t="shared" si="10"/>
        <v>0</v>
      </c>
      <c r="AC56" s="275">
        <f t="shared" si="11"/>
        <v>0</v>
      </c>
      <c r="AD56" s="269">
        <f t="shared" si="12"/>
        <v>0</v>
      </c>
      <c r="AE56" s="274"/>
      <c r="AF56" s="274"/>
      <c r="AG56" s="274"/>
      <c r="AH56" s="274"/>
      <c r="AI56" s="274"/>
      <c r="AJ56" s="274"/>
      <c r="AK56" s="274"/>
      <c r="AL56" s="274"/>
      <c r="AM56" s="274"/>
      <c r="AN56" s="274"/>
      <c r="AO56" s="274"/>
      <c r="AP56" s="274"/>
      <c r="AQ56" s="274"/>
      <c r="AR56" s="274"/>
      <c r="AS56" s="274"/>
      <c r="AT56" s="268" t="e">
        <f t="shared" si="13"/>
        <v>#N/A</v>
      </c>
      <c r="AU56" s="195">
        <f t="shared" si="14"/>
        <v>0</v>
      </c>
      <c r="AV56" s="271">
        <f t="shared" si="15"/>
        <v>0</v>
      </c>
      <c r="AW56" s="269">
        <f t="shared" si="16"/>
        <v>0</v>
      </c>
      <c r="AX56" s="276">
        <f t="shared" si="17"/>
        <v>0</v>
      </c>
      <c r="AY56" s="277"/>
      <c r="AZ56" s="277"/>
      <c r="BA56" s="277"/>
      <c r="BB56" s="277"/>
    </row>
    <row r="57" spans="1:54" s="278" customFormat="1" ht="18.75">
      <c r="A57" s="265"/>
      <c r="B57" s="266">
        <f t="shared" si="0"/>
        <v>0</v>
      </c>
      <c r="C57" s="267">
        <f t="shared" si="1"/>
        <v>0</v>
      </c>
      <c r="D57" s="267">
        <f t="shared" si="2"/>
        <v>0</v>
      </c>
      <c r="E57" s="267">
        <f t="shared" si="3"/>
        <v>0</v>
      </c>
      <c r="F57" s="267">
        <f t="shared" si="4"/>
        <v>0</v>
      </c>
      <c r="G57" s="268">
        <f t="shared" si="5"/>
        <v>0</v>
      </c>
      <c r="H57" s="268">
        <f t="shared" si="6"/>
        <v>0</v>
      </c>
      <c r="I57" s="269">
        <f t="shared" si="7"/>
        <v>0</v>
      </c>
      <c r="J57" s="279"/>
      <c r="K57" s="268">
        <f t="shared" si="8"/>
        <v>0</v>
      </c>
      <c r="L57" s="271">
        <f t="shared" si="9"/>
        <v>0</v>
      </c>
      <c r="M57" s="274"/>
      <c r="N57" s="274"/>
      <c r="O57" s="274"/>
      <c r="P57" s="274"/>
      <c r="Q57" s="274"/>
      <c r="R57" s="274"/>
      <c r="S57" s="274"/>
      <c r="T57" s="274"/>
      <c r="U57" s="274"/>
      <c r="V57" s="274"/>
      <c r="W57" s="274"/>
      <c r="X57" s="274"/>
      <c r="Y57" s="274"/>
      <c r="Z57" s="280"/>
      <c r="AA57" s="274"/>
      <c r="AB57" s="268">
        <f t="shared" si="10"/>
        <v>0</v>
      </c>
      <c r="AC57" s="275">
        <f t="shared" si="11"/>
        <v>0</v>
      </c>
      <c r="AD57" s="269">
        <f t="shared" si="12"/>
        <v>0</v>
      </c>
      <c r="AE57" s="274"/>
      <c r="AF57" s="274"/>
      <c r="AG57" s="274"/>
      <c r="AH57" s="274"/>
      <c r="AI57" s="274"/>
      <c r="AJ57" s="274"/>
      <c r="AK57" s="274"/>
      <c r="AL57" s="274"/>
      <c r="AM57" s="274"/>
      <c r="AN57" s="274"/>
      <c r="AO57" s="274"/>
      <c r="AP57" s="274"/>
      <c r="AQ57" s="274"/>
      <c r="AR57" s="274"/>
      <c r="AS57" s="274"/>
      <c r="AT57" s="268" t="e">
        <f t="shared" si="13"/>
        <v>#N/A</v>
      </c>
      <c r="AU57" s="195">
        <f t="shared" si="14"/>
        <v>0</v>
      </c>
      <c r="AV57" s="271">
        <f t="shared" si="15"/>
        <v>0</v>
      </c>
      <c r="AW57" s="269">
        <f t="shared" si="16"/>
        <v>0</v>
      </c>
      <c r="AX57" s="276">
        <f t="shared" si="17"/>
        <v>0</v>
      </c>
      <c r="AY57" s="277"/>
      <c r="AZ57" s="277"/>
      <c r="BA57" s="277"/>
      <c r="BB57" s="277"/>
    </row>
    <row r="58" spans="1:54" s="278" customFormat="1" ht="18.75">
      <c r="A58" s="265"/>
      <c r="B58" s="266">
        <f t="shared" si="0"/>
        <v>0</v>
      </c>
      <c r="C58" s="267">
        <f t="shared" si="1"/>
        <v>0</v>
      </c>
      <c r="D58" s="267">
        <f t="shared" si="2"/>
        <v>0</v>
      </c>
      <c r="E58" s="267">
        <f t="shared" si="3"/>
        <v>0</v>
      </c>
      <c r="F58" s="267">
        <f t="shared" si="4"/>
        <v>0</v>
      </c>
      <c r="G58" s="268">
        <f t="shared" si="5"/>
        <v>0</v>
      </c>
      <c r="H58" s="268">
        <f t="shared" si="6"/>
        <v>0</v>
      </c>
      <c r="I58" s="269">
        <f t="shared" si="7"/>
        <v>0</v>
      </c>
      <c r="J58" s="279"/>
      <c r="K58" s="268">
        <f t="shared" si="8"/>
        <v>0</v>
      </c>
      <c r="L58" s="271">
        <f t="shared" si="9"/>
        <v>0</v>
      </c>
      <c r="M58" s="274"/>
      <c r="N58" s="274"/>
      <c r="O58" s="274"/>
      <c r="P58" s="274"/>
      <c r="Q58" s="274"/>
      <c r="R58" s="274"/>
      <c r="S58" s="274"/>
      <c r="T58" s="274"/>
      <c r="U58" s="274"/>
      <c r="V58" s="274"/>
      <c r="W58" s="274"/>
      <c r="X58" s="274"/>
      <c r="Y58" s="274"/>
      <c r="Z58" s="280"/>
      <c r="AA58" s="274"/>
      <c r="AB58" s="268">
        <f t="shared" si="10"/>
        <v>0</v>
      </c>
      <c r="AC58" s="275">
        <f t="shared" si="11"/>
        <v>0</v>
      </c>
      <c r="AD58" s="269">
        <f t="shared" si="12"/>
        <v>0</v>
      </c>
      <c r="AE58" s="274"/>
      <c r="AF58" s="274"/>
      <c r="AG58" s="274"/>
      <c r="AH58" s="274"/>
      <c r="AI58" s="274"/>
      <c r="AJ58" s="274"/>
      <c r="AK58" s="274"/>
      <c r="AL58" s="274"/>
      <c r="AM58" s="274"/>
      <c r="AN58" s="274"/>
      <c r="AO58" s="274"/>
      <c r="AP58" s="274"/>
      <c r="AQ58" s="274"/>
      <c r="AR58" s="274"/>
      <c r="AS58" s="274"/>
      <c r="AT58" s="268" t="e">
        <f t="shared" si="13"/>
        <v>#N/A</v>
      </c>
      <c r="AU58" s="195">
        <f t="shared" si="14"/>
        <v>0</v>
      </c>
      <c r="AV58" s="271">
        <f t="shared" si="15"/>
        <v>0</v>
      </c>
      <c r="AW58" s="269">
        <f t="shared" si="16"/>
        <v>0</v>
      </c>
      <c r="AX58" s="276">
        <f t="shared" si="17"/>
        <v>0</v>
      </c>
      <c r="AY58" s="277"/>
      <c r="AZ58" s="277"/>
      <c r="BA58" s="277"/>
      <c r="BB58" s="277"/>
    </row>
    <row r="59" spans="1:54" s="278" customFormat="1" ht="18.75">
      <c r="A59" s="265"/>
      <c r="B59" s="266">
        <f t="shared" si="0"/>
        <v>0</v>
      </c>
      <c r="C59" s="267">
        <f t="shared" si="1"/>
        <v>0</v>
      </c>
      <c r="D59" s="267">
        <f t="shared" si="2"/>
        <v>0</v>
      </c>
      <c r="E59" s="267">
        <f t="shared" si="3"/>
        <v>0</v>
      </c>
      <c r="F59" s="267">
        <f t="shared" si="4"/>
        <v>0</v>
      </c>
      <c r="G59" s="268">
        <f t="shared" si="5"/>
        <v>0</v>
      </c>
      <c r="H59" s="268">
        <f t="shared" si="6"/>
        <v>0</v>
      </c>
      <c r="I59" s="269">
        <f t="shared" si="7"/>
        <v>0</v>
      </c>
      <c r="J59" s="279"/>
      <c r="K59" s="268">
        <f t="shared" si="8"/>
        <v>0</v>
      </c>
      <c r="L59" s="271">
        <f t="shared" si="9"/>
        <v>0</v>
      </c>
      <c r="M59" s="274"/>
      <c r="N59" s="274"/>
      <c r="O59" s="274"/>
      <c r="P59" s="274"/>
      <c r="Q59" s="274"/>
      <c r="R59" s="274"/>
      <c r="S59" s="274"/>
      <c r="T59" s="274"/>
      <c r="U59" s="274"/>
      <c r="V59" s="274"/>
      <c r="W59" s="274"/>
      <c r="X59" s="274"/>
      <c r="Y59" s="274"/>
      <c r="Z59" s="280"/>
      <c r="AA59" s="274"/>
      <c r="AB59" s="268">
        <f t="shared" si="10"/>
        <v>0</v>
      </c>
      <c r="AC59" s="275">
        <f t="shared" si="11"/>
        <v>0</v>
      </c>
      <c r="AD59" s="269">
        <f t="shared" si="12"/>
        <v>0</v>
      </c>
      <c r="AE59" s="274"/>
      <c r="AF59" s="274"/>
      <c r="AG59" s="274"/>
      <c r="AH59" s="274"/>
      <c r="AI59" s="274"/>
      <c r="AJ59" s="274"/>
      <c r="AK59" s="274"/>
      <c r="AL59" s="274"/>
      <c r="AM59" s="274"/>
      <c r="AN59" s="274"/>
      <c r="AO59" s="274"/>
      <c r="AP59" s="274"/>
      <c r="AQ59" s="274"/>
      <c r="AR59" s="274"/>
      <c r="AS59" s="274"/>
      <c r="AT59" s="268" t="e">
        <f t="shared" si="13"/>
        <v>#N/A</v>
      </c>
      <c r="AU59" s="195">
        <f t="shared" si="14"/>
        <v>0</v>
      </c>
      <c r="AV59" s="271">
        <f t="shared" si="15"/>
        <v>0</v>
      </c>
      <c r="AW59" s="269">
        <f t="shared" si="16"/>
        <v>0</v>
      </c>
      <c r="AX59" s="276">
        <f t="shared" si="17"/>
        <v>0</v>
      </c>
      <c r="AY59" s="277"/>
      <c r="AZ59" s="277"/>
      <c r="BA59" s="277"/>
      <c r="BB59" s="277"/>
    </row>
    <row r="60" spans="1:54" s="278" customFormat="1" ht="18.75">
      <c r="A60" s="265"/>
      <c r="B60" s="266">
        <f t="shared" si="0"/>
        <v>0</v>
      </c>
      <c r="C60" s="267">
        <f t="shared" si="1"/>
        <v>0</v>
      </c>
      <c r="D60" s="267">
        <f t="shared" si="2"/>
        <v>0</v>
      </c>
      <c r="E60" s="267">
        <f t="shared" si="3"/>
        <v>0</v>
      </c>
      <c r="F60" s="267">
        <f t="shared" si="4"/>
        <v>0</v>
      </c>
      <c r="G60" s="268">
        <f t="shared" si="5"/>
        <v>0</v>
      </c>
      <c r="H60" s="268">
        <f t="shared" si="6"/>
        <v>0</v>
      </c>
      <c r="I60" s="269">
        <f t="shared" si="7"/>
        <v>0</v>
      </c>
      <c r="J60" s="279"/>
      <c r="K60" s="268">
        <f t="shared" si="8"/>
        <v>0</v>
      </c>
      <c r="L60" s="271">
        <f t="shared" si="9"/>
        <v>0</v>
      </c>
      <c r="M60" s="274"/>
      <c r="N60" s="274"/>
      <c r="O60" s="274"/>
      <c r="P60" s="274"/>
      <c r="Q60" s="274"/>
      <c r="R60" s="274"/>
      <c r="S60" s="274"/>
      <c r="T60" s="274"/>
      <c r="U60" s="274"/>
      <c r="V60" s="274"/>
      <c r="W60" s="274"/>
      <c r="X60" s="274"/>
      <c r="Y60" s="274"/>
      <c r="Z60" s="280"/>
      <c r="AA60" s="274"/>
      <c r="AB60" s="268">
        <f t="shared" si="10"/>
        <v>0</v>
      </c>
      <c r="AC60" s="275">
        <f t="shared" si="11"/>
        <v>0</v>
      </c>
      <c r="AD60" s="269">
        <f t="shared" si="12"/>
        <v>0</v>
      </c>
      <c r="AE60" s="274"/>
      <c r="AF60" s="274"/>
      <c r="AG60" s="274"/>
      <c r="AH60" s="274"/>
      <c r="AI60" s="274"/>
      <c r="AJ60" s="274"/>
      <c r="AK60" s="274"/>
      <c r="AL60" s="274"/>
      <c r="AM60" s="274"/>
      <c r="AN60" s="274"/>
      <c r="AO60" s="274"/>
      <c r="AP60" s="274"/>
      <c r="AQ60" s="274"/>
      <c r="AR60" s="274"/>
      <c r="AS60" s="274"/>
      <c r="AT60" s="268" t="e">
        <f t="shared" si="13"/>
        <v>#N/A</v>
      </c>
      <c r="AU60" s="195">
        <f t="shared" si="14"/>
        <v>0</v>
      </c>
      <c r="AV60" s="271">
        <f t="shared" si="15"/>
        <v>0</v>
      </c>
      <c r="AW60" s="269">
        <f t="shared" si="16"/>
        <v>0</v>
      </c>
      <c r="AX60" s="276">
        <f t="shared" si="17"/>
        <v>0</v>
      </c>
      <c r="AY60" s="277"/>
      <c r="AZ60" s="277"/>
      <c r="BA60" s="277"/>
      <c r="BB60" s="277"/>
    </row>
    <row r="61" spans="1:54" s="278" customFormat="1" ht="0.75" customHeight="1">
      <c r="A61" s="265"/>
      <c r="B61" s="266">
        <f t="shared" si="0"/>
        <v>0</v>
      </c>
      <c r="C61" s="267">
        <f t="shared" si="1"/>
        <v>0</v>
      </c>
      <c r="D61" s="267">
        <f t="shared" si="2"/>
        <v>0</v>
      </c>
      <c r="E61" s="267">
        <f t="shared" si="3"/>
        <v>0</v>
      </c>
      <c r="F61" s="267">
        <f t="shared" si="4"/>
        <v>0</v>
      </c>
      <c r="G61" s="268">
        <f t="shared" si="5"/>
        <v>0</v>
      </c>
      <c r="H61" s="268">
        <f t="shared" si="6"/>
        <v>0</v>
      </c>
      <c r="I61" s="269">
        <f t="shared" si="7"/>
        <v>0</v>
      </c>
      <c r="J61" s="279"/>
      <c r="K61" s="268">
        <f t="shared" si="8"/>
        <v>0</v>
      </c>
      <c r="L61" s="271">
        <f t="shared" si="9"/>
        <v>0</v>
      </c>
      <c r="M61" s="274"/>
      <c r="N61" s="274"/>
      <c r="O61" s="274"/>
      <c r="P61" s="274"/>
      <c r="Q61" s="274"/>
      <c r="R61" s="274"/>
      <c r="S61" s="274"/>
      <c r="T61" s="274"/>
      <c r="U61" s="274"/>
      <c r="V61" s="274"/>
      <c r="W61" s="274"/>
      <c r="X61" s="274"/>
      <c r="Y61" s="274"/>
      <c r="Z61" s="280"/>
      <c r="AA61" s="274"/>
      <c r="AB61" s="268">
        <f t="shared" si="10"/>
        <v>0</v>
      </c>
      <c r="AC61" s="275">
        <f t="shared" si="11"/>
        <v>0</v>
      </c>
      <c r="AD61" s="269">
        <f t="shared" si="12"/>
        <v>0</v>
      </c>
      <c r="AE61" s="274"/>
      <c r="AF61" s="274"/>
      <c r="AG61" s="274"/>
      <c r="AH61" s="274"/>
      <c r="AI61" s="274"/>
      <c r="AJ61" s="274"/>
      <c r="AK61" s="274"/>
      <c r="AL61" s="274"/>
      <c r="AM61" s="274"/>
      <c r="AN61" s="274"/>
      <c r="AO61" s="274"/>
      <c r="AP61" s="274"/>
      <c r="AQ61" s="274"/>
      <c r="AR61" s="274"/>
      <c r="AS61" s="274"/>
      <c r="AT61" s="268" t="e">
        <f t="shared" si="13"/>
        <v>#N/A</v>
      </c>
      <c r="AU61" s="195">
        <f t="shared" si="14"/>
        <v>0</v>
      </c>
      <c r="AV61" s="271">
        <f t="shared" si="15"/>
        <v>0</v>
      </c>
      <c r="AW61" s="269">
        <f t="shared" si="16"/>
        <v>0</v>
      </c>
      <c r="AX61" s="276">
        <f t="shared" si="17"/>
        <v>0</v>
      </c>
      <c r="AY61" s="277"/>
      <c r="AZ61" s="277"/>
      <c r="BA61" s="277"/>
      <c r="BB61" s="277"/>
    </row>
    <row r="62" spans="1:54" s="278" customFormat="1" ht="18.75">
      <c r="A62" s="265"/>
      <c r="B62" s="266">
        <f t="shared" si="0"/>
        <v>0</v>
      </c>
      <c r="C62" s="267">
        <f t="shared" si="1"/>
        <v>0</v>
      </c>
      <c r="D62" s="267">
        <f t="shared" si="2"/>
        <v>0</v>
      </c>
      <c r="E62" s="267">
        <f t="shared" si="3"/>
        <v>0</v>
      </c>
      <c r="F62" s="267">
        <f t="shared" si="4"/>
        <v>0</v>
      </c>
      <c r="G62" s="268">
        <f t="shared" si="5"/>
        <v>0</v>
      </c>
      <c r="H62" s="268">
        <f t="shared" si="6"/>
        <v>0</v>
      </c>
      <c r="I62" s="269">
        <f t="shared" si="7"/>
        <v>0</v>
      </c>
      <c r="J62" s="279"/>
      <c r="K62" s="268">
        <f t="shared" si="8"/>
        <v>0</v>
      </c>
      <c r="L62" s="271">
        <f t="shared" si="9"/>
        <v>0</v>
      </c>
      <c r="M62" s="274"/>
      <c r="N62" s="274"/>
      <c r="O62" s="274"/>
      <c r="P62" s="274"/>
      <c r="Q62" s="274"/>
      <c r="R62" s="274"/>
      <c r="S62" s="274"/>
      <c r="T62" s="274"/>
      <c r="U62" s="274"/>
      <c r="V62" s="274"/>
      <c r="W62" s="274"/>
      <c r="X62" s="274"/>
      <c r="Y62" s="274"/>
      <c r="Z62" s="280"/>
      <c r="AA62" s="274"/>
      <c r="AB62" s="268">
        <f t="shared" si="10"/>
        <v>0</v>
      </c>
      <c r="AC62" s="275">
        <f t="shared" si="11"/>
        <v>0</v>
      </c>
      <c r="AD62" s="269">
        <f t="shared" si="12"/>
        <v>0</v>
      </c>
      <c r="AE62" s="274"/>
      <c r="AF62" s="274"/>
      <c r="AG62" s="274"/>
      <c r="AH62" s="274"/>
      <c r="AI62" s="274"/>
      <c r="AJ62" s="274"/>
      <c r="AK62" s="274"/>
      <c r="AL62" s="274"/>
      <c r="AM62" s="274"/>
      <c r="AN62" s="274"/>
      <c r="AO62" s="274"/>
      <c r="AP62" s="274"/>
      <c r="AQ62" s="274"/>
      <c r="AR62" s="274"/>
      <c r="AS62" s="274"/>
      <c r="AT62" s="268" t="e">
        <f t="shared" si="13"/>
        <v>#N/A</v>
      </c>
      <c r="AU62" s="195">
        <f t="shared" si="14"/>
        <v>0</v>
      </c>
      <c r="AV62" s="271">
        <f t="shared" si="15"/>
        <v>0</v>
      </c>
      <c r="AW62" s="269">
        <f t="shared" si="16"/>
        <v>0</v>
      </c>
      <c r="AX62" s="276">
        <f t="shared" si="17"/>
        <v>0</v>
      </c>
      <c r="AY62" s="277"/>
      <c r="AZ62" s="277"/>
      <c r="BA62" s="277"/>
      <c r="BB62" s="277"/>
    </row>
    <row r="63" spans="1:54" s="278" customFormat="1" ht="18.75">
      <c r="A63" s="265"/>
      <c r="B63" s="266">
        <f t="shared" si="0"/>
        <v>0</v>
      </c>
      <c r="C63" s="267">
        <f t="shared" si="1"/>
        <v>0</v>
      </c>
      <c r="D63" s="267">
        <f t="shared" si="2"/>
        <v>0</v>
      </c>
      <c r="E63" s="267">
        <f t="shared" si="3"/>
        <v>0</v>
      </c>
      <c r="F63" s="267">
        <f t="shared" si="4"/>
        <v>0</v>
      </c>
      <c r="G63" s="268">
        <f t="shared" si="5"/>
        <v>0</v>
      </c>
      <c r="H63" s="268">
        <f t="shared" si="6"/>
        <v>0</v>
      </c>
      <c r="I63" s="269">
        <f t="shared" si="7"/>
        <v>0</v>
      </c>
      <c r="J63" s="279"/>
      <c r="K63" s="268">
        <f t="shared" si="8"/>
        <v>0</v>
      </c>
      <c r="L63" s="271">
        <f t="shared" si="9"/>
        <v>0</v>
      </c>
      <c r="M63" s="274"/>
      <c r="N63" s="274"/>
      <c r="O63" s="274"/>
      <c r="P63" s="274"/>
      <c r="Q63" s="274"/>
      <c r="R63" s="274"/>
      <c r="S63" s="274"/>
      <c r="T63" s="274"/>
      <c r="U63" s="274"/>
      <c r="V63" s="274"/>
      <c r="W63" s="274"/>
      <c r="X63" s="274"/>
      <c r="Y63" s="274"/>
      <c r="Z63" s="280"/>
      <c r="AA63" s="274"/>
      <c r="AB63" s="268">
        <f t="shared" si="10"/>
        <v>0</v>
      </c>
      <c r="AC63" s="275">
        <f t="shared" si="11"/>
        <v>0</v>
      </c>
      <c r="AD63" s="269">
        <f t="shared" si="12"/>
        <v>0</v>
      </c>
      <c r="AE63" s="274"/>
      <c r="AF63" s="274"/>
      <c r="AG63" s="274"/>
      <c r="AH63" s="274"/>
      <c r="AI63" s="274"/>
      <c r="AJ63" s="274"/>
      <c r="AK63" s="274"/>
      <c r="AL63" s="274"/>
      <c r="AM63" s="274"/>
      <c r="AN63" s="274"/>
      <c r="AO63" s="274"/>
      <c r="AP63" s="274"/>
      <c r="AQ63" s="274"/>
      <c r="AR63" s="274"/>
      <c r="AS63" s="274"/>
      <c r="AT63" s="268" t="e">
        <f t="shared" si="13"/>
        <v>#N/A</v>
      </c>
      <c r="AU63" s="195">
        <f t="shared" si="14"/>
        <v>0</v>
      </c>
      <c r="AV63" s="271">
        <f t="shared" si="15"/>
        <v>0</v>
      </c>
      <c r="AW63" s="269">
        <f t="shared" si="16"/>
        <v>0</v>
      </c>
      <c r="AX63" s="276">
        <f t="shared" si="17"/>
        <v>0</v>
      </c>
      <c r="AY63" s="277"/>
      <c r="AZ63" s="277"/>
      <c r="BA63" s="277"/>
      <c r="BB63" s="277"/>
    </row>
    <row r="64" spans="1:54" s="278" customFormat="1" ht="18.75">
      <c r="A64" s="265"/>
      <c r="B64" s="266">
        <f t="shared" si="0"/>
        <v>0</v>
      </c>
      <c r="C64" s="267">
        <f t="shared" si="1"/>
        <v>0</v>
      </c>
      <c r="D64" s="267">
        <f t="shared" si="2"/>
        <v>0</v>
      </c>
      <c r="E64" s="267">
        <f t="shared" si="3"/>
        <v>0</v>
      </c>
      <c r="F64" s="267">
        <f t="shared" si="4"/>
        <v>0</v>
      </c>
      <c r="G64" s="268">
        <f t="shared" si="5"/>
        <v>0</v>
      </c>
      <c r="H64" s="268">
        <f t="shared" si="6"/>
        <v>0</v>
      </c>
      <c r="I64" s="269">
        <f t="shared" si="7"/>
        <v>0</v>
      </c>
      <c r="J64" s="279"/>
      <c r="K64" s="268">
        <f t="shared" si="8"/>
        <v>0</v>
      </c>
      <c r="L64" s="271">
        <f t="shared" si="9"/>
        <v>0</v>
      </c>
      <c r="M64" s="274"/>
      <c r="N64" s="274"/>
      <c r="O64" s="274"/>
      <c r="P64" s="274"/>
      <c r="Q64" s="274"/>
      <c r="R64" s="274"/>
      <c r="S64" s="274"/>
      <c r="T64" s="274"/>
      <c r="U64" s="274"/>
      <c r="V64" s="274"/>
      <c r="W64" s="274"/>
      <c r="X64" s="274"/>
      <c r="Y64" s="274"/>
      <c r="Z64" s="280"/>
      <c r="AA64" s="274"/>
      <c r="AB64" s="268">
        <f t="shared" si="10"/>
        <v>0</v>
      </c>
      <c r="AC64" s="275">
        <f t="shared" si="11"/>
        <v>0</v>
      </c>
      <c r="AD64" s="269">
        <f t="shared" si="12"/>
        <v>0</v>
      </c>
      <c r="AE64" s="274"/>
      <c r="AF64" s="274"/>
      <c r="AG64" s="274"/>
      <c r="AH64" s="274"/>
      <c r="AI64" s="274"/>
      <c r="AJ64" s="274"/>
      <c r="AK64" s="274"/>
      <c r="AL64" s="274"/>
      <c r="AM64" s="274"/>
      <c r="AN64" s="274"/>
      <c r="AO64" s="274"/>
      <c r="AP64" s="274"/>
      <c r="AQ64" s="274"/>
      <c r="AR64" s="274"/>
      <c r="AS64" s="274"/>
      <c r="AT64" s="268" t="e">
        <f t="shared" si="13"/>
        <v>#N/A</v>
      </c>
      <c r="AU64" s="195">
        <f t="shared" si="14"/>
        <v>0</v>
      </c>
      <c r="AV64" s="271">
        <f t="shared" si="15"/>
        <v>0</v>
      </c>
      <c r="AW64" s="269">
        <f t="shared" si="16"/>
        <v>0</v>
      </c>
      <c r="AX64" s="276">
        <f t="shared" si="17"/>
        <v>0</v>
      </c>
      <c r="AY64" s="277"/>
      <c r="AZ64" s="277"/>
      <c r="BA64" s="277"/>
      <c r="BB64" s="277"/>
    </row>
    <row r="65" spans="1:50" ht="18.75">
      <c r="A65" s="281">
        <f>MIN(Dossard)</f>
        <v>1</v>
      </c>
      <c r="B65" s="229" t="s">
        <v>236</v>
      </c>
      <c r="D65" s="230">
        <f>Temps_référence_min</f>
        <v>0.19791666666666666</v>
      </c>
      <c r="E65" s="231">
        <f>Fin_épreuve_min</f>
        <v>0.5520833333333334</v>
      </c>
      <c r="F65" s="282"/>
      <c r="G65" s="232"/>
      <c r="H65" s="232"/>
      <c r="K65" s="283"/>
      <c r="L65" s="283"/>
      <c r="M65" s="284">
        <v>0</v>
      </c>
      <c r="N65" s="284">
        <v>0</v>
      </c>
      <c r="O65" s="284">
        <v>0</v>
      </c>
      <c r="P65" s="284">
        <v>0</v>
      </c>
      <c r="Q65" s="284">
        <v>0</v>
      </c>
      <c r="R65" s="284">
        <v>0</v>
      </c>
      <c r="S65" s="284">
        <v>0</v>
      </c>
      <c r="T65" s="284">
        <v>0</v>
      </c>
      <c r="U65" s="284">
        <v>0</v>
      </c>
      <c r="V65" s="284">
        <v>0</v>
      </c>
      <c r="W65" s="284">
        <v>0</v>
      </c>
      <c r="X65" s="284">
        <v>0</v>
      </c>
      <c r="Y65" s="284">
        <v>0</v>
      </c>
      <c r="Z65" s="284">
        <v>0</v>
      </c>
      <c r="AA65" s="284">
        <v>0</v>
      </c>
      <c r="AB65" s="285"/>
      <c r="AC65" s="286"/>
      <c r="AE65" s="287">
        <v>0</v>
      </c>
      <c r="AF65" s="287">
        <v>0</v>
      </c>
      <c r="AG65" s="287">
        <v>0</v>
      </c>
      <c r="AH65" s="287">
        <v>0</v>
      </c>
      <c r="AI65" s="287">
        <v>0</v>
      </c>
      <c r="AJ65" s="287">
        <v>0</v>
      </c>
      <c r="AK65" s="287">
        <v>0</v>
      </c>
      <c r="AL65" s="287">
        <v>0</v>
      </c>
      <c r="AM65" s="287">
        <v>0</v>
      </c>
      <c r="AN65" s="287">
        <v>0</v>
      </c>
      <c r="AO65" s="287">
        <v>0</v>
      </c>
      <c r="AP65" s="287">
        <v>0</v>
      </c>
      <c r="AQ65" s="287">
        <v>0</v>
      </c>
      <c r="AR65" s="287">
        <v>0</v>
      </c>
      <c r="AS65" s="287">
        <v>0</v>
      </c>
      <c r="AT65" s="288"/>
      <c r="AU65" s="288"/>
      <c r="AV65" s="289"/>
      <c r="AW65" s="290"/>
      <c r="AX65" s="291"/>
    </row>
    <row r="66" spans="1:50" ht="18.75">
      <c r="A66" s="281">
        <f>MAX(Dossard)</f>
        <v>14</v>
      </c>
      <c r="D66" s="230">
        <f>Temps_référence_max</f>
        <v>0.23958333333333334</v>
      </c>
      <c r="E66" s="231">
        <f>IF(Fin_épreuve&gt;0,Fin_épreuve,Fin_épreuve_max)</f>
        <v>0.6875</v>
      </c>
      <c r="K66" s="283"/>
      <c r="L66" s="288"/>
      <c r="M66" s="292">
        <f>IF(ISNUMBER(M$4),Mal_placée,"X")</f>
        <v>0</v>
      </c>
      <c r="N66" s="292">
        <f>IF(ISNUMBER(N$4),Mal_placée,"X")</f>
        <v>0</v>
      </c>
      <c r="O66" s="292">
        <f>IF(ISNUMBER(O$4),Mal_placée,"X")</f>
        <v>0</v>
      </c>
      <c r="P66" s="292">
        <f>IF(ISNUMBER(P$4),Mal_placée,"X")</f>
        <v>0</v>
      </c>
      <c r="Q66" s="292">
        <f>IF(ISNUMBER(Q$4),Mal_placée,"X")</f>
        <v>0</v>
      </c>
      <c r="R66" s="292">
        <f>IF(ISNUMBER(R$4),Mal_placée,"X")</f>
        <v>0</v>
      </c>
      <c r="S66" s="292">
        <f>IF(ISNUMBER(S$4),Mal_placée,"X")</f>
        <v>0</v>
      </c>
      <c r="T66" s="292">
        <f>IF(ISNUMBER(T$4),Mal_placée,"X")</f>
        <v>0</v>
      </c>
      <c r="U66" s="292">
        <f>IF(ISNUMBER(U$4),Mal_placée,"X")</f>
        <v>0</v>
      </c>
      <c r="V66" s="292">
        <f>IF(ISNUMBER(V$4),Mal_placée,"X")</f>
        <v>0</v>
      </c>
      <c r="W66" s="292">
        <f>IF(ISNUMBER(W$4),Mal_placée,"X")</f>
        <v>0</v>
      </c>
      <c r="X66" s="292">
        <f>IF(ISNUMBER(X$4),Mal_placée,"X")</f>
        <v>0</v>
      </c>
      <c r="Y66" s="292">
        <f>IF(ISNUMBER(Y$4),Mal_placée,"X")</f>
        <v>0</v>
      </c>
      <c r="Z66" s="292">
        <f>IF(ISNUMBER(Z$4),Mal_placée,"X")</f>
        <v>0</v>
      </c>
      <c r="AA66" s="292">
        <f>IF(ISNUMBER(AA$4),Mal_placée,"X")</f>
        <v>0</v>
      </c>
      <c r="AB66" s="285"/>
      <c r="AC66" s="286"/>
      <c r="AD66" s="293"/>
      <c r="AE66" s="294">
        <f>IF(ISNUMBER(AE$4),Fausse,"X")</f>
        <v>0</v>
      </c>
      <c r="AF66" s="294">
        <f>IF(ISNUMBER(AF$4),Fausse,"X")</f>
        <v>0</v>
      </c>
      <c r="AG66" s="294">
        <f>IF(ISNUMBER(AG$4),Fausse,"X")</f>
        <v>0</v>
      </c>
      <c r="AH66" s="294">
        <f>IF(ISNUMBER(AH$4),Fausse,"X")</f>
        <v>0</v>
      </c>
      <c r="AI66" s="294">
        <f>IF(ISNUMBER(AI$4),Fausse,"X")</f>
        <v>0</v>
      </c>
      <c r="AJ66" s="294">
        <f>IF(ISNUMBER(AJ$4),Fausse,"X")</f>
        <v>0</v>
      </c>
      <c r="AK66" s="294">
        <f>IF(ISNUMBER(AK$4),Fausse,"X")</f>
        <v>0</v>
      </c>
      <c r="AL66" s="294">
        <f>IF(ISNUMBER(AL$4),Fausse,"X")</f>
        <v>0</v>
      </c>
      <c r="AM66" s="294">
        <f>IF(ISNUMBER(AM$4),Fausse,"X")</f>
        <v>0</v>
      </c>
      <c r="AN66" s="294">
        <f>IF(ISNUMBER(AN$4),Fausse,"X")</f>
        <v>0</v>
      </c>
      <c r="AO66" s="294">
        <f>IF(ISNUMBER(AO$4),Fausse,"X")</f>
        <v>0</v>
      </c>
      <c r="AP66" s="294">
        <f>IF(ISNUMBER(AP$4),Fausse,"X")</f>
        <v>0</v>
      </c>
      <c r="AQ66" s="294">
        <f>IF(ISNUMBER(AQ$4),Fausse,"X")</f>
        <v>0</v>
      </c>
      <c r="AR66" s="294">
        <f>IF(ISNUMBER(AR$4),Fausse,"X")</f>
        <v>0</v>
      </c>
      <c r="AS66" s="294">
        <f>IF(ISNUMBER(AS$4),Fausse,"X")</f>
        <v>0</v>
      </c>
      <c r="AT66" s="288"/>
      <c r="AU66" s="288"/>
      <c r="AV66" s="289"/>
      <c r="AW66" s="290"/>
      <c r="AX66" s="291"/>
    </row>
    <row r="67" spans="13:50" ht="18.75">
      <c r="M67" s="295"/>
      <c r="N67" s="295"/>
      <c r="O67" s="295"/>
      <c r="P67" s="295"/>
      <c r="Q67" s="295"/>
      <c r="R67" s="295"/>
      <c r="S67" s="295"/>
      <c r="T67" s="295"/>
      <c r="U67" s="295"/>
      <c r="V67" s="295"/>
      <c r="W67" s="295"/>
      <c r="X67" s="295"/>
      <c r="Y67" s="295"/>
      <c r="Z67" s="295"/>
      <c r="AA67" s="295"/>
      <c r="AB67" s="285"/>
      <c r="AC67" s="286"/>
      <c r="AD67" s="293"/>
      <c r="AE67" s="294">
        <f>IF(ISNUMBER(AE$4),Non_répondue,"X")</f>
        <v>0</v>
      </c>
      <c r="AF67" s="294">
        <f>IF(ISNUMBER(AF$4),Non_répondue,"X")</f>
        <v>0</v>
      </c>
      <c r="AG67" s="294">
        <f>IF(ISNUMBER(AG$4),Non_répondue,"X")</f>
        <v>0</v>
      </c>
      <c r="AH67" s="294">
        <f>IF(ISNUMBER(AH$4),Non_répondue,"X")</f>
        <v>0</v>
      </c>
      <c r="AI67" s="294">
        <f>IF(ISNUMBER(AI$4),Non_répondue,"X")</f>
        <v>0</v>
      </c>
      <c r="AJ67" s="294">
        <f>IF(ISNUMBER(AJ$4),Non_répondue,"X")</f>
        <v>0</v>
      </c>
      <c r="AK67" s="294">
        <f>IF(ISNUMBER(AK$4),Non_répondue,"X")</f>
        <v>0</v>
      </c>
      <c r="AL67" s="294">
        <f>IF(ISNUMBER(AL$4),Non_répondue,"X")</f>
        <v>0</v>
      </c>
      <c r="AM67" s="294">
        <f>IF(ISNUMBER(AM$4),Non_répondue,"X")</f>
        <v>0</v>
      </c>
      <c r="AN67" s="294">
        <f>IF(ISNUMBER(AN$4),Non_répondue,"X")</f>
        <v>0</v>
      </c>
      <c r="AO67" s="294">
        <f>IF(ISNUMBER(AO$4),Non_répondue,"X")</f>
        <v>0</v>
      </c>
      <c r="AP67" s="294">
        <f>IF(ISNUMBER(AP$4),Non_répondue,"X")</f>
        <v>0</v>
      </c>
      <c r="AQ67" s="294">
        <f>IF(ISNUMBER(AQ$4),Non_répondue,"X")</f>
        <v>0</v>
      </c>
      <c r="AR67" s="294">
        <f>IF(ISNUMBER(AR$4),Non_répondue,"X")</f>
        <v>0</v>
      </c>
      <c r="AS67" s="294">
        <f>IF(ISNUMBER(AS$4),Non_répondue,"X")</f>
        <v>0</v>
      </c>
      <c r="AT67" s="288"/>
      <c r="AU67" s="288"/>
      <c r="AV67" s="289"/>
      <c r="AW67" s="290"/>
      <c r="AX67" s="291"/>
    </row>
  </sheetData>
  <sheetProtection password="88A3" sheet="1" objects="1" scenarios="1" selectLockedCells="1"/>
  <mergeCells count="6">
    <mergeCell ref="A3:A4"/>
    <mergeCell ref="B3:B4"/>
    <mergeCell ref="C3:I3"/>
    <mergeCell ref="J3:AD3"/>
    <mergeCell ref="AE3:AW3"/>
    <mergeCell ref="AX3:AX4"/>
  </mergeCells>
  <conditionalFormatting sqref="AE4:AS4 M4:AA4">
    <cfRule type="expression" priority="1" dxfId="15" stopIfTrue="1">
      <formula>(ISNUMBER(M$4)=FALSE)</formula>
    </cfRule>
  </conditionalFormatting>
  <conditionalFormatting sqref="AB5:AB64 K5:K64 AT5:AU64 AW5:AX64 B5:C64 G5:I64">
    <cfRule type="expression" priority="2" dxfId="13" stopIfTrue="1">
      <formula>MOD(ROW(B5),2)=0</formula>
    </cfRule>
  </conditionalFormatting>
  <conditionalFormatting sqref="AC5:AC64">
    <cfRule type="cellIs" priority="3" dxfId="0" operator="greaterThan" stopIfTrue="1">
      <formula>0</formula>
    </cfRule>
    <cfRule type="expression" priority="4" dxfId="13" stopIfTrue="1">
      <formula>MOD(ROW(),2)=0</formula>
    </cfRule>
  </conditionalFormatting>
  <conditionalFormatting sqref="A5:A64">
    <cfRule type="expression" priority="5" dxfId="1" stopIfTrue="1">
      <formula>(COUNTIF($A$5:$A$64,A5)&gt;1)</formula>
    </cfRule>
    <cfRule type="expression" priority="6" dxfId="0" stopIfTrue="1">
      <formula>(A5&gt;0)*((A5&lt;A$65)+(A5&gt;A$66))</formula>
    </cfRule>
    <cfRule type="expression" priority="7" dxfId="13" stopIfTrue="1">
      <formula>MOD(ROW(A5),2)=0</formula>
    </cfRule>
  </conditionalFormatting>
  <conditionalFormatting sqref="AD5:AD64">
    <cfRule type="cellIs" priority="8" dxfId="0" operator="equal" stopIfTrue="1">
      <formula>999</formula>
    </cfRule>
    <cfRule type="expression" priority="9" dxfId="13" stopIfTrue="1">
      <formula>MOD(ROW(AD5),2)=0</formula>
    </cfRule>
  </conditionalFormatting>
  <conditionalFormatting sqref="J5:J64 E5:E64">
    <cfRule type="expression" priority="10" dxfId="12" stopIfTrue="1">
      <formula>($A5&gt;0)*ISBLANK(E5)</formula>
    </cfRule>
    <cfRule type="expression" priority="11" dxfId="13" stopIfTrue="1">
      <formula>MOD(ROW(E5),2)=0</formula>
    </cfRule>
  </conditionalFormatting>
  <conditionalFormatting sqref="M5:Y64 AA5:AA64 Z6:Z64">
    <cfRule type="expression" priority="12" dxfId="16" stopIfTrue="1">
      <formula>ISERROR(VLOOKUP(M5,M$65:M$66,1,FALSE))</formula>
    </cfRule>
    <cfRule type="expression" priority="13" dxfId="17" stopIfTrue="1">
      <formula>(AE5=Non_répondue)*(M5&lt;&gt;Mal_placée)</formula>
    </cfRule>
    <cfRule type="expression" priority="14" dxfId="13" stopIfTrue="1">
      <formula>MOD(ROW(M5),2)=0</formula>
    </cfRule>
  </conditionalFormatting>
  <conditionalFormatting sqref="AE5:AJ64 AL5:AS64 AK6:AK64">
    <cfRule type="expression" priority="15" dxfId="16" stopIfTrue="1">
      <formula>ISERROR(VLOOKUP(AE5,AE$65:AE$67,1,FALSE))</formula>
    </cfRule>
    <cfRule type="expression" priority="16" dxfId="17" stopIfTrue="1">
      <formula>(AE5=Non_répondue)*(M5&lt;&gt;Mal_placée)</formula>
    </cfRule>
    <cfRule type="expression" priority="17" dxfId="13" stopIfTrue="1">
      <formula>MOD(ROW(AE5),2)=0</formula>
    </cfRule>
  </conditionalFormatting>
  <conditionalFormatting sqref="F5:F64">
    <cfRule type="expression" priority="18" dxfId="12" stopIfTrue="1">
      <formula>($A5&gt;0)*ISBLANK(F5)</formula>
    </cfRule>
    <cfRule type="expression" priority="19" dxfId="14" stopIfTrue="1">
      <formula>($A5&gt;0)*(F5&lt;D5)</formula>
    </cfRule>
    <cfRule type="expression" priority="20" dxfId="13" stopIfTrue="1">
      <formula>(MOD(ROW(F5),2)=0)</formula>
    </cfRule>
  </conditionalFormatting>
  <conditionalFormatting sqref="D5:D64">
    <cfRule type="expression" priority="21" dxfId="12" stopIfTrue="1">
      <formula>($A5&gt;0)*ISBLANK(D5)</formula>
    </cfRule>
    <cfRule type="expression" priority="22" dxfId="14" stopIfTrue="1">
      <formula>($A5&gt;0)*OR(D5&lt;Temps_référence_min,D5&gt;Temps_référence_max)</formula>
    </cfRule>
    <cfRule type="expression" priority="23" dxfId="13" stopIfTrue="1">
      <formula>(MOD(ROW(D5),2)=0)</formula>
    </cfRule>
  </conditionalFormatting>
  <conditionalFormatting sqref="AV5:AV64">
    <cfRule type="expression" priority="24" dxfId="18" stopIfTrue="1">
      <formula>($AV5&lt;&gt;$L5)</formula>
    </cfRule>
    <cfRule type="expression" priority="25" dxfId="13" stopIfTrue="1">
      <formula>MOD(ROW(AV5),2)=0</formula>
    </cfRule>
  </conditionalFormatting>
  <conditionalFormatting sqref="L5:L64">
    <cfRule type="expression" priority="26" dxfId="18" stopIfTrue="1">
      <formula>($L5&lt;&gt;$AV5)</formula>
    </cfRule>
    <cfRule type="expression" priority="27" dxfId="13" stopIfTrue="1">
      <formula>MOD(ROW(L5),2)=0</formula>
    </cfRule>
  </conditionalFormatting>
  <conditionalFormatting sqref="Z5">
    <cfRule type="expression" priority="28" dxfId="16" stopIfTrue="1">
      <formula>ISERROR(VLOOKUP(Z5,Z$65:Z$66,1,FALSE))</formula>
    </cfRule>
    <cfRule type="expression" priority="29" dxfId="17" stopIfTrue="1">
      <formula>(AR5=Non_répondue)*(Z5&lt;&gt;Mal_placée)</formula>
    </cfRule>
    <cfRule type="expression" priority="30" dxfId="13" stopIfTrue="1">
      <formula>MOD(ROW(Z5),2)=0</formula>
    </cfRule>
  </conditionalFormatting>
  <conditionalFormatting sqref="AK5">
    <cfRule type="expression" priority="31" dxfId="16" stopIfTrue="1">
      <formula>ISERROR(VLOOKUP(AK5,AK$65:AK$67,1,FALSE))</formula>
    </cfRule>
    <cfRule type="expression" priority="32" dxfId="17" stopIfTrue="1">
      <formula>(AK5=Non_répondue)*(S5&lt;&gt;Mal_placée)</formula>
    </cfRule>
    <cfRule type="expression" priority="33" dxfId="13" stopIfTrue="1">
      <formula>MOD(ROW(AK5),2)=0</formula>
    </cfRule>
  </conditionalFormatting>
  <conditionalFormatting sqref="A5:A64">
    <cfRule type="expression" priority="34" dxfId="1" stopIfTrue="1">
      <formula>(COUNTIF($A$5:$A$64,A5)&gt;1)</formula>
    </cfRule>
    <cfRule type="expression" priority="35" dxfId="0" stopIfTrue="1">
      <formula>(A5&gt;0)*((A5&lt;A$65)+(A5&gt;A$66))</formula>
    </cfRule>
    <cfRule type="expression" priority="36" dxfId="13" stopIfTrue="1">
      <formula>MOD(ROW(A5),2)=0</formula>
    </cfRule>
  </conditionalFormatting>
  <conditionalFormatting sqref="E5:E64">
    <cfRule type="expression" priority="37" dxfId="12" stopIfTrue="1">
      <formula>($A5&gt;0)*ISBLANK(E5)</formula>
    </cfRule>
    <cfRule type="expression" priority="38" dxfId="13" stopIfTrue="1">
      <formula>MOD(ROW(E5),2)=0</formula>
    </cfRule>
  </conditionalFormatting>
  <conditionalFormatting sqref="D5:D64">
    <cfRule type="expression" priority="39" dxfId="12" stopIfTrue="1">
      <formula>($A5&gt;0)*ISBLANK(D5)</formula>
    </cfRule>
    <cfRule type="expression" priority="40" dxfId="14" stopIfTrue="1">
      <formula>($A5&gt;0)*OR(D5&lt;Temps_référence_min,D5&gt;Temps_référence_max)</formula>
    </cfRule>
    <cfRule type="expression" priority="41" dxfId="13" stopIfTrue="1">
      <formula>(MOD(ROW(D5),2)=0)</formula>
    </cfRule>
  </conditionalFormatting>
  <conditionalFormatting sqref="J5:J20">
    <cfRule type="expression" priority="42" dxfId="12" stopIfTrue="1">
      <formula>($A5&gt;0)*ISBLANK(J5)</formula>
    </cfRule>
    <cfRule type="expression" priority="43" dxfId="13" stopIfTrue="1">
      <formula>MOD(ROW(J5),2)=0</formula>
    </cfRule>
  </conditionalFormatting>
  <conditionalFormatting sqref="A5:A64">
    <cfRule type="expression" priority="44" dxfId="1" stopIfTrue="1">
      <formula>(COUNTIF($A$5:$A$64,A5)&gt;1)</formula>
    </cfRule>
    <cfRule type="expression" priority="45" dxfId="0" stopIfTrue="1">
      <formula>(A5&gt;0)*((A5&lt;A$65)+(A5&gt;A$66))</formula>
    </cfRule>
    <cfRule type="expression" priority="46" dxfId="13" stopIfTrue="1">
      <formula>MOD(ROW(A5),2)=0</formula>
    </cfRule>
  </conditionalFormatting>
  <conditionalFormatting sqref="M5:Y20 Z6:Z20">
    <cfRule type="expression" priority="47" dxfId="16" stopIfTrue="1">
      <formula>ISERROR(VLOOKUP(M5,M$65:M$66,1,FALSE))</formula>
    </cfRule>
    <cfRule type="expression" priority="48" dxfId="17" stopIfTrue="1">
      <formula>(AE5=Non_répondue)*(M5&lt;&gt;Mal_placée)</formula>
    </cfRule>
    <cfRule type="expression" priority="49" dxfId="13" stopIfTrue="1">
      <formula>MOD(ROW(M5),2)=0</formula>
    </cfRule>
  </conditionalFormatting>
  <conditionalFormatting sqref="Z5">
    <cfRule type="expression" priority="50" dxfId="16" stopIfTrue="1">
      <formula>ISERROR(VLOOKUP(Z5,Z$65:Z$66,1,FALSE))</formula>
    </cfRule>
    <cfRule type="expression" priority="51" dxfId="17" stopIfTrue="1">
      <formula>(AR5=Non_répondue)*(Z5&lt;&gt;Mal_placée)</formula>
    </cfRule>
    <cfRule type="expression" priority="52" dxfId="13" stopIfTrue="1">
      <formula>MOD(ROW(Z5),2)=0</formula>
    </cfRule>
  </conditionalFormatting>
  <conditionalFormatting sqref="AE5:AQ20 AR6:AR20">
    <cfRule type="expression" priority="53" dxfId="16" stopIfTrue="1">
      <formula>ISERROR(VLOOKUP(AE5,AE$65:AE$67,1,FALSE))</formula>
    </cfRule>
    <cfRule type="expression" priority="54" dxfId="17" stopIfTrue="1">
      <formula>(AE5=Non_répondue)*(M5&lt;&gt;Mal_placée)</formula>
    </cfRule>
    <cfRule type="expression" priority="55" dxfId="13" stopIfTrue="1">
      <formula>MOD(ROW(AE5),2)=0</formula>
    </cfRule>
  </conditionalFormatting>
  <conditionalFormatting sqref="AR5">
    <cfRule type="expression" priority="56" dxfId="16" stopIfTrue="1">
      <formula>ISERROR(VLOOKUP(AR5,AR$65:AR$67,1,FALSE))</formula>
    </cfRule>
    <cfRule type="expression" priority="57" dxfId="17" stopIfTrue="1">
      <formula>(AR5=Non_répondue)*(Z5&lt;&gt;Mal_placée)</formula>
    </cfRule>
    <cfRule type="expression" priority="58" dxfId="13" stopIfTrue="1">
      <formula>MOD(ROW(AR5),2)=0</formula>
    </cfRule>
  </conditionalFormatting>
  <conditionalFormatting sqref="D5:D64">
    <cfRule type="expression" priority="59" dxfId="13" stopIfTrue="1">
      <formula>MOD(ROW(D5),2)=0</formula>
    </cfRule>
  </conditionalFormatting>
  <conditionalFormatting sqref="E5:E64">
    <cfRule type="expression" priority="60" dxfId="12" stopIfTrue="1">
      <formula>($A5&gt;0)*ISBLANK(E5)</formula>
    </cfRule>
    <cfRule type="expression" priority="61" dxfId="14" stopIfTrue="1">
      <formula>($A5&gt;0)*OR(E5&lt;Temps_référence_min,E5&gt;Temps_référence_max)</formula>
    </cfRule>
    <cfRule type="expression" priority="62" dxfId="13" stopIfTrue="1">
      <formula>(MOD(ROW(E5),2)=0)</formula>
    </cfRule>
  </conditionalFormatting>
  <conditionalFormatting sqref="E5:E64">
    <cfRule type="expression" priority="63" dxfId="12" stopIfTrue="1">
      <formula>($A5&gt;0)*ISBLANK(E5)</formula>
    </cfRule>
    <cfRule type="expression" priority="64" dxfId="14" stopIfTrue="1">
      <formula>($A5&gt;0)*OR(E5&lt;Temps_référence_min,E5&gt;Temps_référence_max)</formula>
    </cfRule>
    <cfRule type="expression" priority="65" dxfId="13" stopIfTrue="1">
      <formula>(MOD(ROW(E5),2)=0)</formula>
    </cfRule>
  </conditionalFormatting>
  <conditionalFormatting sqref="E5:E64">
    <cfRule type="expression" priority="66" dxfId="13" stopIfTrue="1">
      <formula>MOD(ROW(E5),2)=0</formula>
    </cfRule>
  </conditionalFormatting>
  <dataValidations count="5">
    <dataValidation errorStyle="warning" allowBlank="1" error="utilisez une des valeurs proposées" sqref="K5:L64">
      <formula1>0</formula1>
      <formula2>0</formula2>
    </dataValidation>
    <dataValidation type="list" allowBlank="1" showDropDown="1" showErrorMessage="1" error="valeur incorrecte, voir baréme lignes 95 à 97&#10;" sqref="M65:AA67">
      <formula1>M$65:M$67</formula1>
      <formula2>0</formula2>
    </dataValidation>
    <dataValidation type="list" allowBlank="1" showDropDown="1" showErrorMessage="1" error="valeur incorrecte, voir baréme lignes 95 à 97&#10;" sqref="AE65:AS67">
      <formula1>AE$65:AE$68</formula1>
      <formula2>0</formula2>
    </dataValidation>
    <dataValidation errorStyle="information" allowBlank="1" showErrorMessage="1" sqref="AE5">
      <formula1>0</formula1>
      <formula2>0</formula2>
    </dataValidation>
    <dataValidation errorStyle="warning" allowBlank="1" showErrorMessage="1" error="utilisez une des valeurs proposées" sqref="J5:J64">
      <formula1>0</formula1>
      <formula2>0</formula2>
    </dataValidation>
  </dataValidations>
  <printOptions/>
  <pageMargins left="0.30972222222222223" right="0.19652777777777777" top="0.39305555555555555" bottom="0.19652777777777777" header="0.19652777777777777" footer="0.5118055555555555"/>
  <pageSetup firstPageNumber="1" useFirstPageNumber="1" fitToHeight="0" fitToWidth="1" horizontalDpi="300" verticalDpi="300" orientation="landscape" pageOrder="overThenDown" paperSize="9"/>
  <headerFooter alignWithMargins="0">
    <oddHeader>&amp;L&amp;F&amp;R&amp;A (&amp;P)</oddHeader>
  </headerFooter>
  <rowBreaks count="1" manualBreakCount="1">
    <brk id="34" max="255" man="1"/>
  </rowBreaks>
  <legacyDrawing r:id="rId2"/>
</worksheet>
</file>

<file path=xl/worksheets/sheet7.xml><?xml version="1.0" encoding="utf-8"?>
<worksheet xmlns="http://schemas.openxmlformats.org/spreadsheetml/2006/main" xmlns:r="http://schemas.openxmlformats.org/officeDocument/2006/relationships">
  <sheetPr>
    <tabColor indexed="26"/>
    <pageSetUpPr fitToPage="1"/>
  </sheetPr>
  <dimension ref="A1:AG63"/>
  <sheetViews>
    <sheetView zoomScale="90" zoomScaleNormal="90" zoomScaleSheetLayoutView="100" workbookViewId="0" topLeftCell="A1">
      <pane xSplit="2" ySplit="3" topLeftCell="C4" activePane="bottomRight" state="frozen"/>
      <selection pane="topLeft" activeCell="A1" sqref="A1"/>
      <selection pane="topRight" activeCell="C1" sqref="C1"/>
      <selection pane="bottomLeft" activeCell="A4" sqref="A4"/>
      <selection pane="bottomRight" activeCell="P11" sqref="P11"/>
    </sheetView>
  </sheetViews>
  <sheetFormatPr defaultColWidth="9.140625" defaultRowHeight="15"/>
  <cols>
    <col min="1" max="1" width="10.57421875" style="296" customWidth="1"/>
    <col min="2" max="2" width="12.28125" style="297" customWidth="1"/>
    <col min="3" max="3" width="11.00390625" style="298" customWidth="1"/>
    <col min="4" max="4" width="42.00390625" style="299" customWidth="1"/>
    <col min="5" max="5" width="7.00390625" style="299" customWidth="1"/>
    <col min="6" max="6" width="7.140625" style="299" customWidth="1"/>
    <col min="7" max="7" width="7.421875" style="299" customWidth="1"/>
    <col min="8" max="8" width="9.28125" style="299" customWidth="1"/>
    <col min="9" max="9" width="10.28125" style="300" customWidth="1"/>
    <col min="10" max="10" width="5.28125" style="301" hidden="1" customWidth="1"/>
    <col min="11" max="11" width="9.7109375" style="302" customWidth="1"/>
    <col min="12" max="12" width="4.8515625" style="301" hidden="1" customWidth="1"/>
    <col min="13" max="13" width="9.7109375" style="302" customWidth="1"/>
    <col min="14" max="14" width="5.28125" style="301" hidden="1" customWidth="1"/>
    <col min="15" max="15" width="9.7109375" style="301" customWidth="1"/>
    <col min="16" max="16" width="11.421875" style="296" customWidth="1"/>
    <col min="17" max="17" width="5.28125" style="301" customWidth="1"/>
    <col min="18" max="18" width="7.8515625" style="301" customWidth="1"/>
    <col min="19" max="19" width="8.28125" style="296" customWidth="1"/>
    <col min="20" max="16384" width="11.421875" style="296" customWidth="1"/>
  </cols>
  <sheetData>
    <row r="1" spans="2:33" s="171" customFormat="1" ht="21">
      <c r="B1" s="303"/>
      <c r="C1" s="304" t="s">
        <v>82</v>
      </c>
      <c r="D1" s="172">
        <f>Parcours!$B$1</f>
        <v>0</v>
      </c>
      <c r="E1" s="111"/>
      <c r="G1" s="42"/>
      <c r="P1" s="172"/>
      <c r="T1" s="172"/>
      <c r="U1" s="172"/>
      <c r="V1" s="172"/>
      <c r="W1" s="172"/>
      <c r="X1" s="172"/>
      <c r="Y1" s="172"/>
      <c r="Z1" s="172"/>
      <c r="AA1" s="172"/>
      <c r="AB1" s="172"/>
      <c r="AC1" s="240"/>
      <c r="AD1" s="240"/>
      <c r="AE1" s="240"/>
      <c r="AF1" s="211"/>
      <c r="AG1" s="175"/>
    </row>
    <row r="2" spans="2:33" s="111" customFormat="1" ht="26.25" customHeight="1">
      <c r="B2" s="303"/>
      <c r="C2" s="305">
        <f>Niveau</f>
        <v>0</v>
      </c>
      <c r="G2" s="306">
        <f>IF(I2="","PROVISOIRE","validé par")</f>
        <v>0</v>
      </c>
      <c r="H2" s="306"/>
      <c r="I2" s="307"/>
      <c r="J2" s="307"/>
      <c r="K2" s="307"/>
      <c r="L2" s="308"/>
      <c r="M2" s="309"/>
      <c r="N2" s="310"/>
      <c r="O2" s="310"/>
      <c r="P2" s="209"/>
      <c r="Q2" s="310"/>
      <c r="R2" s="310"/>
      <c r="S2" s="310"/>
      <c r="T2" s="209"/>
      <c r="U2" s="209"/>
      <c r="V2" s="209"/>
      <c r="W2" s="209"/>
      <c r="X2" s="209"/>
      <c r="Y2" s="209"/>
      <c r="Z2" s="209"/>
      <c r="AA2" s="209"/>
      <c r="AB2" s="209"/>
      <c r="AC2" s="243"/>
      <c r="AD2" s="243"/>
      <c r="AE2" s="243"/>
      <c r="AF2" s="211"/>
      <c r="AG2" s="175"/>
    </row>
    <row r="3" spans="1:19" s="239" customFormat="1" ht="63">
      <c r="A3" s="311" t="s">
        <v>253</v>
      </c>
      <c r="B3" s="311" t="s">
        <v>254</v>
      </c>
      <c r="C3" s="312" t="s">
        <v>227</v>
      </c>
      <c r="D3" s="313" t="s">
        <v>255</v>
      </c>
      <c r="E3" s="314" t="s">
        <v>231</v>
      </c>
      <c r="F3" s="314" t="s">
        <v>233</v>
      </c>
      <c r="G3" s="314" t="s">
        <v>234</v>
      </c>
      <c r="H3" s="314" t="s">
        <v>238</v>
      </c>
      <c r="I3" s="315" t="s">
        <v>256</v>
      </c>
      <c r="J3" s="316" t="s">
        <v>257</v>
      </c>
      <c r="K3" s="185" t="s">
        <v>258</v>
      </c>
      <c r="L3" s="316" t="s">
        <v>259</v>
      </c>
      <c r="M3" s="185" t="s">
        <v>260</v>
      </c>
      <c r="N3" s="316" t="s">
        <v>261</v>
      </c>
      <c r="O3" s="185" t="s">
        <v>262</v>
      </c>
      <c r="P3" s="317" t="s">
        <v>263</v>
      </c>
      <c r="Q3" s="316" t="s">
        <v>264</v>
      </c>
      <c r="R3" s="316" t="s">
        <v>265</v>
      </c>
      <c r="S3" s="316" t="s">
        <v>266</v>
      </c>
    </row>
    <row r="4" spans="1:20" s="328" customFormat="1" ht="30" customHeight="1">
      <c r="A4" s="318">
        <f aca="true" t="shared" si="0" ref="A4:A63">IF(Niveau="Découverte","",IF(ISNUMBER(S4),RANK(S4,S$1:S$65536,-1),""))</f>
        <v>13</v>
      </c>
      <c r="B4" s="319">
        <f aca="true" t="shared" si="1" ref="B4:B63">IF(ISNUMBER(R4),RANK(R4,R$1:R$65536,1),"")</f>
        <v>13</v>
      </c>
      <c r="C4" s="320">
        <f>IF(Pénalités!A5&lt;&gt;"",Pénalités!A5,"")</f>
        <v>1</v>
      </c>
      <c r="D4" s="321">
        <f aca="true" t="shared" si="2" ref="D4:D63">IF(ISNUMBER($C4),VLOOKUP($C4,Départs,COLUMN(équipe),FALSE),"")</f>
        <v>0</v>
      </c>
      <c r="E4" s="322">
        <f aca="true" t="shared" si="3" ref="E4:E63">IF(ISNUMBER($C4),VLOOKUP($C4,Départs,COLUMN(Heure_départ),FALSE),"")</f>
        <v>0.3541666666666667</v>
      </c>
      <c r="F4" s="322">
        <f aca="true" t="shared" si="4" ref="F4:F63">IF(ISNUMBER($C4),VLOOKUP($C4,émargement,COLUMN(Temps_cible),FALSE),"")</f>
        <v>0.20277777777777778</v>
      </c>
      <c r="G4" s="323">
        <f aca="true" t="shared" si="5" ref="G4:G63">IF(ISNUMBER($C4),VLOOKUP($C4,émargement,COLUMN(Heure_arrivée),FALSE),"")</f>
        <v>0.5590277777777778</v>
      </c>
      <c r="H4" s="322">
        <f aca="true" t="shared" si="6" ref="H4:H63">IF(ISNUMBER($C4),VLOOKUP($C4,Pénalités,COLUMN(Temps_réel),FALSE),"")</f>
        <v>0.2048611111111111</v>
      </c>
      <c r="I4" s="324">
        <f aca="true" t="shared" si="7" ref="I4:I63">IF(ISNUMBER($C4),VLOOKUP($C4,Pénalités,COLUMN(Total_pénalités),FALSE),"")</f>
        <v>94</v>
      </c>
      <c r="J4" s="324">
        <f aca="true" t="shared" si="8" ref="J4:J63">IF(ISNUMBER(I4),RANK(I4,I$1:I$65536,1),"")</f>
        <v>13</v>
      </c>
      <c r="K4" s="324">
        <f aca="true" t="shared" si="9" ref="K4:K63">IF(ISNUMBER($C4),VLOOKUP($C4,Pénalités,COLUMN(Pénalités_bornes),FALSE),"")</f>
        <v>40</v>
      </c>
      <c r="L4" s="324">
        <f aca="true" t="shared" si="10" ref="L4:L63">IF(ISNUMBER(K4),RANK(K4,K$1:K$65536,1),"")</f>
        <v>12</v>
      </c>
      <c r="M4" s="324">
        <f aca="true" t="shared" si="11" ref="M4:M63">IF(ISNUMBER($C4),VLOOKUP($C4,Pénalités,COLUMN(Pénalités_temps),FALSE),"")</f>
        <v>14</v>
      </c>
      <c r="N4" s="324">
        <f aca="true" t="shared" si="12" ref="N4:N63">IF(ISNUMBER(M4),RANK(M4,M$1:M$65536,1),"")</f>
        <v>8</v>
      </c>
      <c r="O4" s="324">
        <f aca="true" t="shared" si="13" ref="O4:O63">IF(ISNUMBER($C4),VLOOKUP($C4,Pénalités,COLUMN(Pénalités_ACM),FALSE),"")</f>
        <v>40</v>
      </c>
      <c r="P4" s="325"/>
      <c r="Q4" s="326">
        <f aca="true" t="shared" si="14" ref="Q4:Q63">IF(ISNUMBER(P4),RANK(P4,P$1:P$65536,1),0)</f>
        <v>0</v>
      </c>
      <c r="R4" s="326">
        <f aca="true" t="shared" si="15" ref="R4:R63">IF(ISNUMBER(I4),J4*1000000+L4*10000+N4*100+Q4,"")</f>
        <v>13120800</v>
      </c>
      <c r="S4" s="327">
        <f aca="true" t="shared" si="16" ref="S4:S63">IF(ISNUMBER(B4),B4*100+C4,"")</f>
        <v>1301</v>
      </c>
      <c r="T4" s="328">
        <f>($C$1="Découverte")*($I4=MIN($I:$I))</f>
        <v>0</v>
      </c>
    </row>
    <row r="5" spans="1:19" s="328" customFormat="1" ht="30" customHeight="1">
      <c r="A5" s="318">
        <f t="shared" si="0"/>
        <v>11</v>
      </c>
      <c r="B5" s="319">
        <f t="shared" si="1"/>
        <v>11</v>
      </c>
      <c r="C5" s="320">
        <f>IF(Pénalités!A6&lt;&gt;"",Pénalités!A6,"")</f>
        <v>2</v>
      </c>
      <c r="D5" s="321">
        <f t="shared" si="2"/>
        <v>0</v>
      </c>
      <c r="E5" s="322">
        <f t="shared" si="3"/>
        <v>0.3576388888888889</v>
      </c>
      <c r="F5" s="322">
        <f t="shared" si="4"/>
        <v>0.1875</v>
      </c>
      <c r="G5" s="323">
        <f t="shared" si="5"/>
        <v>0.5451388888888888</v>
      </c>
      <c r="H5" s="322">
        <f t="shared" si="6"/>
        <v>0.1875</v>
      </c>
      <c r="I5" s="324">
        <f t="shared" si="7"/>
        <v>73</v>
      </c>
      <c r="J5" s="324">
        <f t="shared" si="8"/>
        <v>11</v>
      </c>
      <c r="K5" s="324">
        <f t="shared" si="9"/>
        <v>10</v>
      </c>
      <c r="L5" s="324">
        <f t="shared" si="10"/>
        <v>8</v>
      </c>
      <c r="M5" s="324">
        <f t="shared" si="11"/>
        <v>33</v>
      </c>
      <c r="N5" s="324">
        <f t="shared" si="12"/>
        <v>12</v>
      </c>
      <c r="O5" s="324">
        <f t="shared" si="13"/>
        <v>30</v>
      </c>
      <c r="P5" s="325"/>
      <c r="Q5" s="326">
        <f t="shared" si="14"/>
        <v>0</v>
      </c>
      <c r="R5" s="326">
        <f t="shared" si="15"/>
        <v>11081200</v>
      </c>
      <c r="S5" s="327">
        <f t="shared" si="16"/>
        <v>1102</v>
      </c>
    </row>
    <row r="6" spans="1:19" s="328" customFormat="1" ht="30" customHeight="1">
      <c r="A6" s="318">
        <f t="shared" si="0"/>
        <v>2</v>
      </c>
      <c r="B6" s="319">
        <f t="shared" si="1"/>
        <v>2</v>
      </c>
      <c r="C6" s="320">
        <f>IF(Pénalités!A7&lt;&gt;"",Pénalités!A7,"")</f>
        <v>3</v>
      </c>
      <c r="D6" s="321">
        <f t="shared" si="2"/>
        <v>0</v>
      </c>
      <c r="E6" s="322">
        <f t="shared" si="3"/>
        <v>0.3611111111111111</v>
      </c>
      <c r="F6" s="322">
        <f t="shared" si="4"/>
        <v>0.20972222222222223</v>
      </c>
      <c r="G6" s="323">
        <f t="shared" si="5"/>
        <v>0.5708333333333333</v>
      </c>
      <c r="H6" s="322">
        <f t="shared" si="6"/>
        <v>0.20972222222222223</v>
      </c>
      <c r="I6" s="324">
        <f t="shared" si="7"/>
        <v>21</v>
      </c>
      <c r="J6" s="324">
        <f t="shared" si="8"/>
        <v>2</v>
      </c>
      <c r="K6" s="324">
        <f t="shared" si="9"/>
        <v>0</v>
      </c>
      <c r="L6" s="324">
        <f t="shared" si="10"/>
        <v>1</v>
      </c>
      <c r="M6" s="324">
        <f t="shared" si="11"/>
        <v>1</v>
      </c>
      <c r="N6" s="324">
        <f t="shared" si="12"/>
        <v>1</v>
      </c>
      <c r="O6" s="324">
        <f t="shared" si="13"/>
        <v>20</v>
      </c>
      <c r="P6" s="325"/>
      <c r="Q6" s="326">
        <f t="shared" si="14"/>
        <v>0</v>
      </c>
      <c r="R6" s="326">
        <f t="shared" si="15"/>
        <v>2010100</v>
      </c>
      <c r="S6" s="327">
        <f t="shared" si="16"/>
        <v>203</v>
      </c>
    </row>
    <row r="7" spans="1:19" s="328" customFormat="1" ht="30" customHeight="1">
      <c r="A7" s="318">
        <f t="shared" si="0"/>
        <v>4</v>
      </c>
      <c r="B7" s="319">
        <f t="shared" si="1"/>
        <v>4</v>
      </c>
      <c r="C7" s="320">
        <f>IF(Pénalités!A8&lt;&gt;"",Pénalités!A8,"")</f>
        <v>4</v>
      </c>
      <c r="D7" s="321">
        <f t="shared" si="2"/>
        <v>0</v>
      </c>
      <c r="E7" s="322">
        <f t="shared" si="3"/>
        <v>0.36458333333333337</v>
      </c>
      <c r="F7" s="322">
        <f t="shared" si="4"/>
        <v>0.21319444444444444</v>
      </c>
      <c r="G7" s="323">
        <f t="shared" si="5"/>
        <v>0.5777777777777777</v>
      </c>
      <c r="H7" s="322">
        <f t="shared" si="6"/>
        <v>0.21319444444444444</v>
      </c>
      <c r="I7" s="324">
        <f t="shared" si="7"/>
        <v>24</v>
      </c>
      <c r="J7" s="324">
        <f t="shared" si="8"/>
        <v>4</v>
      </c>
      <c r="K7" s="324">
        <f t="shared" si="9"/>
        <v>0</v>
      </c>
      <c r="L7" s="324">
        <f t="shared" si="10"/>
        <v>1</v>
      </c>
      <c r="M7" s="324">
        <f t="shared" si="11"/>
        <v>4</v>
      </c>
      <c r="N7" s="324">
        <f t="shared" si="12"/>
        <v>4</v>
      </c>
      <c r="O7" s="324">
        <f t="shared" si="13"/>
        <v>20</v>
      </c>
      <c r="P7" s="325"/>
      <c r="Q7" s="326">
        <f t="shared" si="14"/>
        <v>0</v>
      </c>
      <c r="R7" s="326">
        <f t="shared" si="15"/>
        <v>4010400</v>
      </c>
      <c r="S7" s="327">
        <f t="shared" si="16"/>
        <v>404</v>
      </c>
    </row>
    <row r="8" spans="1:19" s="328" customFormat="1" ht="30" customHeight="1">
      <c r="A8" s="318">
        <f t="shared" si="0"/>
        <v>8</v>
      </c>
      <c r="B8" s="319">
        <f t="shared" si="1"/>
        <v>8</v>
      </c>
      <c r="C8" s="320">
        <f>IF(Pénalités!A9&lt;&gt;"",Pénalités!A9,"")</f>
        <v>5</v>
      </c>
      <c r="D8" s="321">
        <f t="shared" si="2"/>
        <v>0</v>
      </c>
      <c r="E8" s="322">
        <f t="shared" si="3"/>
        <v>0.3680555555555556</v>
      </c>
      <c r="F8" s="322">
        <f t="shared" si="4"/>
        <v>0.2125</v>
      </c>
      <c r="G8" s="323">
        <f t="shared" si="5"/>
        <v>0.6006944444444444</v>
      </c>
      <c r="H8" s="322">
        <f t="shared" si="6"/>
        <v>0.2326388888888889</v>
      </c>
      <c r="I8" s="324">
        <f t="shared" si="7"/>
        <v>47</v>
      </c>
      <c r="J8" s="324">
        <f t="shared" si="8"/>
        <v>8</v>
      </c>
      <c r="K8" s="324">
        <f t="shared" si="9"/>
        <v>0</v>
      </c>
      <c r="L8" s="324">
        <f t="shared" si="10"/>
        <v>1</v>
      </c>
      <c r="M8" s="324">
        <f t="shared" si="11"/>
        <v>32</v>
      </c>
      <c r="N8" s="324">
        <f t="shared" si="12"/>
        <v>11</v>
      </c>
      <c r="O8" s="324">
        <f t="shared" si="13"/>
        <v>15</v>
      </c>
      <c r="P8" s="325"/>
      <c r="Q8" s="326">
        <f t="shared" si="14"/>
        <v>0</v>
      </c>
      <c r="R8" s="326">
        <f t="shared" si="15"/>
        <v>8011100</v>
      </c>
      <c r="S8" s="327">
        <f t="shared" si="16"/>
        <v>805</v>
      </c>
    </row>
    <row r="9" spans="1:19" s="328" customFormat="1" ht="30" customHeight="1">
      <c r="A9" s="318">
        <f t="shared" si="0"/>
        <v>0</v>
      </c>
      <c r="B9" s="319">
        <f t="shared" si="1"/>
        <v>0</v>
      </c>
      <c r="C9" s="320">
        <f>IF(Pénalités!A10&lt;&gt;"",Pénalités!A10,"")</f>
        <v>0</v>
      </c>
      <c r="D9" s="321">
        <f t="shared" si="2"/>
        <v>0</v>
      </c>
      <c r="E9" s="322">
        <f t="shared" si="3"/>
        <v>0</v>
      </c>
      <c r="F9" s="322">
        <f t="shared" si="4"/>
        <v>0</v>
      </c>
      <c r="G9" s="323">
        <f t="shared" si="5"/>
        <v>0</v>
      </c>
      <c r="H9" s="322">
        <f t="shared" si="6"/>
        <v>0</v>
      </c>
      <c r="I9" s="324">
        <f t="shared" si="7"/>
        <v>0</v>
      </c>
      <c r="J9" s="324">
        <f t="shared" si="8"/>
        <v>0</v>
      </c>
      <c r="K9" s="324">
        <f t="shared" si="9"/>
        <v>0</v>
      </c>
      <c r="L9" s="324">
        <f t="shared" si="10"/>
        <v>0</v>
      </c>
      <c r="M9" s="324">
        <f t="shared" si="11"/>
        <v>0</v>
      </c>
      <c r="N9" s="324">
        <f t="shared" si="12"/>
        <v>0</v>
      </c>
      <c r="O9" s="324">
        <f t="shared" si="13"/>
        <v>0</v>
      </c>
      <c r="P9" s="325"/>
      <c r="Q9" s="326">
        <f t="shared" si="14"/>
        <v>0</v>
      </c>
      <c r="R9" s="326">
        <f t="shared" si="15"/>
        <v>0</v>
      </c>
      <c r="S9" s="327">
        <f t="shared" si="16"/>
        <v>0</v>
      </c>
    </row>
    <row r="10" spans="1:19" s="328" customFormat="1" ht="30" customHeight="1">
      <c r="A10" s="318">
        <f t="shared" si="0"/>
        <v>3</v>
      </c>
      <c r="B10" s="319">
        <f t="shared" si="1"/>
        <v>3</v>
      </c>
      <c r="C10" s="320">
        <f>IF(Pénalités!A11&lt;&gt;"",Pénalités!A11,"")</f>
        <v>7</v>
      </c>
      <c r="D10" s="321">
        <f t="shared" si="2"/>
        <v>0</v>
      </c>
      <c r="E10" s="322">
        <f t="shared" si="3"/>
        <v>0.375</v>
      </c>
      <c r="F10" s="322">
        <f t="shared" si="4"/>
        <v>0.20902777777777778</v>
      </c>
      <c r="G10" s="323">
        <f t="shared" si="5"/>
        <v>0.5840277777777778</v>
      </c>
      <c r="H10" s="322">
        <f t="shared" si="6"/>
        <v>0.20902777777777778</v>
      </c>
      <c r="I10" s="324">
        <f t="shared" si="7"/>
        <v>22</v>
      </c>
      <c r="J10" s="324">
        <f t="shared" si="8"/>
        <v>3</v>
      </c>
      <c r="K10" s="324">
        <f t="shared" si="9"/>
        <v>0</v>
      </c>
      <c r="L10" s="324">
        <f t="shared" si="10"/>
        <v>1</v>
      </c>
      <c r="M10" s="324">
        <f t="shared" si="11"/>
        <v>2</v>
      </c>
      <c r="N10" s="324">
        <f t="shared" si="12"/>
        <v>2</v>
      </c>
      <c r="O10" s="324">
        <f t="shared" si="13"/>
        <v>20</v>
      </c>
      <c r="P10" s="325"/>
      <c r="Q10" s="326">
        <f t="shared" si="14"/>
        <v>0</v>
      </c>
      <c r="R10" s="326">
        <f t="shared" si="15"/>
        <v>3010200</v>
      </c>
      <c r="S10" s="327">
        <f t="shared" si="16"/>
        <v>307</v>
      </c>
    </row>
    <row r="11" spans="1:19" s="328" customFormat="1" ht="30" customHeight="1">
      <c r="A11" s="318">
        <f t="shared" si="0"/>
        <v>9</v>
      </c>
      <c r="B11" s="319">
        <f t="shared" si="1"/>
        <v>9</v>
      </c>
      <c r="C11" s="320">
        <f>IF(Pénalités!A12&lt;&gt;"",Pénalités!A12,"")</f>
        <v>8</v>
      </c>
      <c r="D11" s="321">
        <f t="shared" si="2"/>
        <v>0</v>
      </c>
      <c r="E11" s="322">
        <f t="shared" si="3"/>
        <v>0.37847222222222227</v>
      </c>
      <c r="F11" s="322">
        <f t="shared" si="4"/>
        <v>0.21666666666666667</v>
      </c>
      <c r="G11" s="323">
        <f t="shared" si="5"/>
        <v>0.5951388888888889</v>
      </c>
      <c r="H11" s="322">
        <f t="shared" si="6"/>
        <v>0.21666666666666667</v>
      </c>
      <c r="I11" s="324">
        <f t="shared" si="7"/>
        <v>49</v>
      </c>
      <c r="J11" s="324">
        <f t="shared" si="8"/>
        <v>9</v>
      </c>
      <c r="K11" s="324">
        <f t="shared" si="9"/>
        <v>10</v>
      </c>
      <c r="L11" s="324">
        <f t="shared" si="10"/>
        <v>8</v>
      </c>
      <c r="M11" s="324">
        <f t="shared" si="11"/>
        <v>9</v>
      </c>
      <c r="N11" s="324">
        <f t="shared" si="12"/>
        <v>6</v>
      </c>
      <c r="O11" s="324">
        <f t="shared" si="13"/>
        <v>30</v>
      </c>
      <c r="P11" s="325"/>
      <c r="Q11" s="326">
        <f t="shared" si="14"/>
        <v>0</v>
      </c>
      <c r="R11" s="326">
        <f t="shared" si="15"/>
        <v>9080600</v>
      </c>
      <c r="S11" s="327">
        <f t="shared" si="16"/>
        <v>908</v>
      </c>
    </row>
    <row r="12" spans="1:19" s="328" customFormat="1" ht="30" customHeight="1">
      <c r="A12" s="318">
        <f t="shared" si="0"/>
        <v>6</v>
      </c>
      <c r="B12" s="319">
        <f t="shared" si="1"/>
        <v>6</v>
      </c>
      <c r="C12" s="320">
        <f>IF(Pénalités!A13&lt;&gt;"",Pénalités!A13,"")</f>
        <v>9</v>
      </c>
      <c r="D12" s="321">
        <f t="shared" si="2"/>
        <v>0</v>
      </c>
      <c r="E12" s="322">
        <f t="shared" si="3"/>
        <v>0.3819444444444445</v>
      </c>
      <c r="F12" s="322">
        <f t="shared" si="4"/>
        <v>0.22361111111111112</v>
      </c>
      <c r="G12" s="323">
        <f t="shared" si="5"/>
        <v>0.6055555555555555</v>
      </c>
      <c r="H12" s="322">
        <f t="shared" si="6"/>
        <v>0.22361111111111112</v>
      </c>
      <c r="I12" s="324">
        <f t="shared" si="7"/>
        <v>29</v>
      </c>
      <c r="J12" s="324">
        <f t="shared" si="8"/>
        <v>6</v>
      </c>
      <c r="K12" s="324">
        <f t="shared" si="9"/>
        <v>0</v>
      </c>
      <c r="L12" s="324">
        <f t="shared" si="10"/>
        <v>1</v>
      </c>
      <c r="M12" s="324">
        <f t="shared" si="11"/>
        <v>19</v>
      </c>
      <c r="N12" s="324">
        <f t="shared" si="12"/>
        <v>10</v>
      </c>
      <c r="O12" s="324">
        <f t="shared" si="13"/>
        <v>10</v>
      </c>
      <c r="P12" s="325"/>
      <c r="Q12" s="326">
        <f t="shared" si="14"/>
        <v>0</v>
      </c>
      <c r="R12" s="326">
        <f t="shared" si="15"/>
        <v>6011000</v>
      </c>
      <c r="S12" s="327">
        <f t="shared" si="16"/>
        <v>609</v>
      </c>
    </row>
    <row r="13" spans="1:19" s="328" customFormat="1" ht="30" customHeight="1">
      <c r="A13" s="318">
        <f t="shared" si="0"/>
        <v>10</v>
      </c>
      <c r="B13" s="319">
        <f t="shared" si="1"/>
        <v>10</v>
      </c>
      <c r="C13" s="320">
        <f>IF(Pénalités!A14&lt;&gt;"",Pénalités!A14,"")</f>
        <v>10</v>
      </c>
      <c r="D13" s="321">
        <f t="shared" si="2"/>
        <v>0</v>
      </c>
      <c r="E13" s="322">
        <f t="shared" si="3"/>
        <v>0.3854166666666667</v>
      </c>
      <c r="F13" s="322">
        <f t="shared" si="4"/>
        <v>0.22916666666666666</v>
      </c>
      <c r="G13" s="323">
        <f t="shared" si="5"/>
        <v>0.6236111111111111</v>
      </c>
      <c r="H13" s="322">
        <f t="shared" si="6"/>
        <v>0.23819444444444443</v>
      </c>
      <c r="I13" s="324">
        <f t="shared" si="7"/>
        <v>70</v>
      </c>
      <c r="J13" s="324">
        <f t="shared" si="8"/>
        <v>10</v>
      </c>
      <c r="K13" s="324">
        <f t="shared" si="9"/>
        <v>10</v>
      </c>
      <c r="L13" s="324">
        <f t="shared" si="10"/>
        <v>8</v>
      </c>
      <c r="M13" s="324">
        <f t="shared" si="11"/>
        <v>40</v>
      </c>
      <c r="N13" s="324">
        <f t="shared" si="12"/>
        <v>13</v>
      </c>
      <c r="O13" s="324">
        <f t="shared" si="13"/>
        <v>20</v>
      </c>
      <c r="P13" s="325"/>
      <c r="Q13" s="326">
        <f t="shared" si="14"/>
        <v>0</v>
      </c>
      <c r="R13" s="326">
        <f t="shared" si="15"/>
        <v>10081300</v>
      </c>
      <c r="S13" s="327">
        <f t="shared" si="16"/>
        <v>1010</v>
      </c>
    </row>
    <row r="14" spans="1:19" s="328" customFormat="1" ht="30" customHeight="1">
      <c r="A14" s="318">
        <f t="shared" si="0"/>
        <v>12</v>
      </c>
      <c r="B14" s="319">
        <f t="shared" si="1"/>
        <v>12</v>
      </c>
      <c r="C14" s="320">
        <f>IF(Pénalités!A15&lt;&gt;"",Pénalités!A15,"")</f>
        <v>11</v>
      </c>
      <c r="D14" s="321">
        <f t="shared" si="2"/>
        <v>0</v>
      </c>
      <c r="E14" s="322">
        <f t="shared" si="3"/>
        <v>0.3888888888888889</v>
      </c>
      <c r="F14" s="322">
        <f t="shared" si="4"/>
        <v>0.2222222222222222</v>
      </c>
      <c r="G14" s="323">
        <f t="shared" si="5"/>
        <v>0.6111111111111112</v>
      </c>
      <c r="H14" s="322">
        <f t="shared" si="6"/>
        <v>0.2222222222222222</v>
      </c>
      <c r="I14" s="324">
        <f t="shared" si="7"/>
        <v>87</v>
      </c>
      <c r="J14" s="324">
        <f t="shared" si="8"/>
        <v>12</v>
      </c>
      <c r="K14" s="324">
        <f t="shared" si="9"/>
        <v>40</v>
      </c>
      <c r="L14" s="324">
        <f t="shared" si="10"/>
        <v>12</v>
      </c>
      <c r="M14" s="324">
        <f t="shared" si="11"/>
        <v>17</v>
      </c>
      <c r="N14" s="324">
        <f t="shared" si="12"/>
        <v>9</v>
      </c>
      <c r="O14" s="324">
        <f t="shared" si="13"/>
        <v>30</v>
      </c>
      <c r="P14" s="325"/>
      <c r="Q14" s="326">
        <f t="shared" si="14"/>
        <v>0</v>
      </c>
      <c r="R14" s="326">
        <f t="shared" si="15"/>
        <v>12120900</v>
      </c>
      <c r="S14" s="327">
        <f t="shared" si="16"/>
        <v>1211</v>
      </c>
    </row>
    <row r="15" spans="1:19" s="328" customFormat="1" ht="30" customHeight="1">
      <c r="A15" s="318">
        <f t="shared" si="0"/>
        <v>7</v>
      </c>
      <c r="B15" s="319">
        <f t="shared" si="1"/>
        <v>7</v>
      </c>
      <c r="C15" s="320">
        <f>IF(Pénalités!A16&lt;&gt;"",Pénalités!A16,"")</f>
        <v>12</v>
      </c>
      <c r="D15" s="321">
        <f t="shared" si="2"/>
        <v>0</v>
      </c>
      <c r="E15" s="322">
        <f t="shared" si="3"/>
        <v>0.39236111111111116</v>
      </c>
      <c r="F15" s="322">
        <f t="shared" si="4"/>
        <v>0.20972222222222223</v>
      </c>
      <c r="G15" s="323">
        <f t="shared" si="5"/>
        <v>0.6104166666666667</v>
      </c>
      <c r="H15" s="322">
        <f t="shared" si="6"/>
        <v>0.21805555555555556</v>
      </c>
      <c r="I15" s="324">
        <f t="shared" si="7"/>
        <v>43</v>
      </c>
      <c r="J15" s="324">
        <f t="shared" si="8"/>
        <v>7</v>
      </c>
      <c r="K15" s="324">
        <f t="shared" si="9"/>
        <v>10</v>
      </c>
      <c r="L15" s="324">
        <f t="shared" si="10"/>
        <v>8</v>
      </c>
      <c r="M15" s="324">
        <f t="shared" si="11"/>
        <v>13</v>
      </c>
      <c r="N15" s="324">
        <f t="shared" si="12"/>
        <v>7</v>
      </c>
      <c r="O15" s="324">
        <f t="shared" si="13"/>
        <v>20</v>
      </c>
      <c r="P15" s="325"/>
      <c r="Q15" s="326">
        <f t="shared" si="14"/>
        <v>0</v>
      </c>
      <c r="R15" s="326">
        <f t="shared" si="15"/>
        <v>7080700</v>
      </c>
      <c r="S15" s="327">
        <f t="shared" si="16"/>
        <v>712</v>
      </c>
    </row>
    <row r="16" spans="1:19" s="328" customFormat="1" ht="30" customHeight="1">
      <c r="A16" s="318">
        <f t="shared" si="0"/>
        <v>5</v>
      </c>
      <c r="B16" s="319">
        <f t="shared" si="1"/>
        <v>5</v>
      </c>
      <c r="C16" s="320">
        <f>IF(Pénalités!A17&lt;&gt;"",Pénalités!A17,"")</f>
        <v>13</v>
      </c>
      <c r="D16" s="321">
        <f t="shared" si="2"/>
        <v>0</v>
      </c>
      <c r="E16" s="322">
        <f t="shared" si="3"/>
        <v>0.39583333333333337</v>
      </c>
      <c r="F16" s="322">
        <f t="shared" si="4"/>
        <v>0.2152777777777778</v>
      </c>
      <c r="G16" s="323">
        <f t="shared" si="5"/>
        <v>0.6111111111111112</v>
      </c>
      <c r="H16" s="322">
        <f t="shared" si="6"/>
        <v>0.2152777777777778</v>
      </c>
      <c r="I16" s="324">
        <f t="shared" si="7"/>
        <v>27</v>
      </c>
      <c r="J16" s="324">
        <f t="shared" si="8"/>
        <v>5</v>
      </c>
      <c r="K16" s="324">
        <f t="shared" si="9"/>
        <v>0</v>
      </c>
      <c r="L16" s="324">
        <f t="shared" si="10"/>
        <v>1</v>
      </c>
      <c r="M16" s="324">
        <f t="shared" si="11"/>
        <v>7</v>
      </c>
      <c r="N16" s="324">
        <f t="shared" si="12"/>
        <v>5</v>
      </c>
      <c r="O16" s="324">
        <f t="shared" si="13"/>
        <v>20</v>
      </c>
      <c r="P16" s="325"/>
      <c r="Q16" s="326">
        <f t="shared" si="14"/>
        <v>0</v>
      </c>
      <c r="R16" s="326">
        <f t="shared" si="15"/>
        <v>5010500</v>
      </c>
      <c r="S16" s="327">
        <f t="shared" si="16"/>
        <v>513</v>
      </c>
    </row>
    <row r="17" spans="1:19" s="328" customFormat="1" ht="30" customHeight="1">
      <c r="A17" s="318">
        <f t="shared" si="0"/>
        <v>1</v>
      </c>
      <c r="B17" s="319">
        <f t="shared" si="1"/>
        <v>1</v>
      </c>
      <c r="C17" s="320">
        <f>IF(Pénalités!A18&lt;&gt;"",Pénalités!A18,"")</f>
        <v>14</v>
      </c>
      <c r="D17" s="321">
        <f t="shared" si="2"/>
        <v>0</v>
      </c>
      <c r="E17" s="322">
        <f t="shared" si="3"/>
        <v>0.3993055555555556</v>
      </c>
      <c r="F17" s="322">
        <f t="shared" si="4"/>
        <v>0.20902777777777778</v>
      </c>
      <c r="G17" s="323">
        <f t="shared" si="5"/>
        <v>0.6083333333333333</v>
      </c>
      <c r="H17" s="322">
        <f t="shared" si="6"/>
        <v>0.20902777777777778</v>
      </c>
      <c r="I17" s="324">
        <f t="shared" si="7"/>
        <v>12</v>
      </c>
      <c r="J17" s="324">
        <f t="shared" si="8"/>
        <v>1</v>
      </c>
      <c r="K17" s="324">
        <f t="shared" si="9"/>
        <v>0</v>
      </c>
      <c r="L17" s="324">
        <f t="shared" si="10"/>
        <v>1</v>
      </c>
      <c r="M17" s="324">
        <f t="shared" si="11"/>
        <v>2</v>
      </c>
      <c r="N17" s="324">
        <f t="shared" si="12"/>
        <v>2</v>
      </c>
      <c r="O17" s="324">
        <f t="shared" si="13"/>
        <v>10</v>
      </c>
      <c r="P17" s="325"/>
      <c r="Q17" s="326">
        <f t="shared" si="14"/>
        <v>0</v>
      </c>
      <c r="R17" s="326">
        <f t="shared" si="15"/>
        <v>1010200</v>
      </c>
      <c r="S17" s="327">
        <f t="shared" si="16"/>
        <v>114</v>
      </c>
    </row>
    <row r="18" spans="1:19" s="328" customFormat="1" ht="30" customHeight="1">
      <c r="A18" s="318">
        <f t="shared" si="0"/>
        <v>0</v>
      </c>
      <c r="B18" s="319">
        <f t="shared" si="1"/>
        <v>0</v>
      </c>
      <c r="C18" s="320">
        <f>IF(Pénalités!A19&lt;&gt;"",Pénalités!A19,"")</f>
        <v>0</v>
      </c>
      <c r="D18" s="321">
        <f t="shared" si="2"/>
        <v>0</v>
      </c>
      <c r="E18" s="322">
        <f t="shared" si="3"/>
        <v>0</v>
      </c>
      <c r="F18" s="322">
        <f t="shared" si="4"/>
        <v>0</v>
      </c>
      <c r="G18" s="323">
        <f t="shared" si="5"/>
        <v>0</v>
      </c>
      <c r="H18" s="322">
        <f t="shared" si="6"/>
        <v>0</v>
      </c>
      <c r="I18" s="324">
        <f t="shared" si="7"/>
        <v>0</v>
      </c>
      <c r="J18" s="324">
        <f t="shared" si="8"/>
        <v>0</v>
      </c>
      <c r="K18" s="324">
        <f t="shared" si="9"/>
        <v>0</v>
      </c>
      <c r="L18" s="324">
        <f t="shared" si="10"/>
        <v>0</v>
      </c>
      <c r="M18" s="324">
        <f t="shared" si="11"/>
        <v>0</v>
      </c>
      <c r="N18" s="324">
        <f t="shared" si="12"/>
        <v>0</v>
      </c>
      <c r="O18" s="324">
        <f t="shared" si="13"/>
        <v>0</v>
      </c>
      <c r="P18" s="325"/>
      <c r="Q18" s="326">
        <f t="shared" si="14"/>
        <v>0</v>
      </c>
      <c r="R18" s="326">
        <f t="shared" si="15"/>
        <v>0</v>
      </c>
      <c r="S18" s="327">
        <f t="shared" si="16"/>
        <v>0</v>
      </c>
    </row>
    <row r="19" spans="1:19" s="328" customFormat="1" ht="30" customHeight="1">
      <c r="A19" s="318">
        <f t="shared" si="0"/>
        <v>0</v>
      </c>
      <c r="B19" s="319">
        <f t="shared" si="1"/>
        <v>0</v>
      </c>
      <c r="C19" s="320">
        <f>IF(Pénalités!A20&lt;&gt;"",Pénalités!A20,"")</f>
        <v>0</v>
      </c>
      <c r="D19" s="321">
        <f t="shared" si="2"/>
        <v>0</v>
      </c>
      <c r="E19" s="322">
        <f t="shared" si="3"/>
        <v>0</v>
      </c>
      <c r="F19" s="322">
        <f t="shared" si="4"/>
        <v>0</v>
      </c>
      <c r="G19" s="323">
        <f t="shared" si="5"/>
        <v>0</v>
      </c>
      <c r="H19" s="322">
        <f t="shared" si="6"/>
        <v>0</v>
      </c>
      <c r="I19" s="324">
        <f t="shared" si="7"/>
        <v>0</v>
      </c>
      <c r="J19" s="324">
        <f t="shared" si="8"/>
        <v>0</v>
      </c>
      <c r="K19" s="324">
        <f t="shared" si="9"/>
        <v>0</v>
      </c>
      <c r="L19" s="324">
        <f t="shared" si="10"/>
        <v>0</v>
      </c>
      <c r="M19" s="324">
        <f t="shared" si="11"/>
        <v>0</v>
      </c>
      <c r="N19" s="324">
        <f t="shared" si="12"/>
        <v>0</v>
      </c>
      <c r="O19" s="324">
        <f t="shared" si="13"/>
        <v>0</v>
      </c>
      <c r="P19" s="325"/>
      <c r="Q19" s="326">
        <f t="shared" si="14"/>
        <v>0</v>
      </c>
      <c r="R19" s="326">
        <f t="shared" si="15"/>
        <v>0</v>
      </c>
      <c r="S19" s="327">
        <f t="shared" si="16"/>
        <v>0</v>
      </c>
    </row>
    <row r="20" spans="1:19" s="328" customFormat="1" ht="30" customHeight="1">
      <c r="A20" s="318">
        <f t="shared" si="0"/>
        <v>0</v>
      </c>
      <c r="B20" s="319">
        <f t="shared" si="1"/>
        <v>0</v>
      </c>
      <c r="C20" s="320">
        <f>IF(Pénalités!A21&lt;&gt;"",Pénalités!A21,"")</f>
        <v>0</v>
      </c>
      <c r="D20" s="321">
        <f t="shared" si="2"/>
        <v>0</v>
      </c>
      <c r="E20" s="322">
        <f t="shared" si="3"/>
        <v>0</v>
      </c>
      <c r="F20" s="322">
        <f t="shared" si="4"/>
        <v>0</v>
      </c>
      <c r="G20" s="323">
        <f t="shared" si="5"/>
        <v>0</v>
      </c>
      <c r="H20" s="322">
        <f t="shared" si="6"/>
        <v>0</v>
      </c>
      <c r="I20" s="324">
        <f t="shared" si="7"/>
        <v>0</v>
      </c>
      <c r="J20" s="324">
        <f t="shared" si="8"/>
        <v>0</v>
      </c>
      <c r="K20" s="324">
        <f t="shared" si="9"/>
        <v>0</v>
      </c>
      <c r="L20" s="324">
        <f t="shared" si="10"/>
        <v>0</v>
      </c>
      <c r="M20" s="324">
        <f t="shared" si="11"/>
        <v>0</v>
      </c>
      <c r="N20" s="324">
        <f t="shared" si="12"/>
        <v>0</v>
      </c>
      <c r="O20" s="324">
        <f t="shared" si="13"/>
        <v>0</v>
      </c>
      <c r="P20" s="325"/>
      <c r="Q20" s="326">
        <f t="shared" si="14"/>
        <v>0</v>
      </c>
      <c r="R20" s="326">
        <f t="shared" si="15"/>
        <v>0</v>
      </c>
      <c r="S20" s="327">
        <f t="shared" si="16"/>
        <v>0</v>
      </c>
    </row>
    <row r="21" spans="1:19" s="328" customFormat="1" ht="30" customHeight="1">
      <c r="A21" s="318">
        <f t="shared" si="0"/>
        <v>0</v>
      </c>
      <c r="B21" s="319">
        <f t="shared" si="1"/>
        <v>0</v>
      </c>
      <c r="C21" s="320">
        <f>IF(Pénalités!A22&lt;&gt;"",Pénalités!A22,"")</f>
        <v>0</v>
      </c>
      <c r="D21" s="321">
        <f t="shared" si="2"/>
        <v>0</v>
      </c>
      <c r="E21" s="322">
        <f t="shared" si="3"/>
        <v>0</v>
      </c>
      <c r="F21" s="322">
        <f t="shared" si="4"/>
        <v>0</v>
      </c>
      <c r="G21" s="323">
        <f t="shared" si="5"/>
        <v>0</v>
      </c>
      <c r="H21" s="322">
        <f t="shared" si="6"/>
        <v>0</v>
      </c>
      <c r="I21" s="324">
        <f t="shared" si="7"/>
        <v>0</v>
      </c>
      <c r="J21" s="324">
        <f t="shared" si="8"/>
        <v>0</v>
      </c>
      <c r="K21" s="324">
        <f t="shared" si="9"/>
        <v>0</v>
      </c>
      <c r="L21" s="324">
        <f t="shared" si="10"/>
        <v>0</v>
      </c>
      <c r="M21" s="324">
        <f t="shared" si="11"/>
        <v>0</v>
      </c>
      <c r="N21" s="324">
        <f t="shared" si="12"/>
        <v>0</v>
      </c>
      <c r="O21" s="324">
        <f t="shared" si="13"/>
        <v>0</v>
      </c>
      <c r="P21" s="325"/>
      <c r="Q21" s="326">
        <f t="shared" si="14"/>
        <v>0</v>
      </c>
      <c r="R21" s="326">
        <f t="shared" si="15"/>
        <v>0</v>
      </c>
      <c r="S21" s="327">
        <f t="shared" si="16"/>
        <v>0</v>
      </c>
    </row>
    <row r="22" spans="1:19" s="328" customFormat="1" ht="30" customHeight="1">
      <c r="A22" s="318">
        <f t="shared" si="0"/>
        <v>0</v>
      </c>
      <c r="B22" s="319">
        <f t="shared" si="1"/>
        <v>0</v>
      </c>
      <c r="C22" s="320">
        <f>IF(Pénalités!A23&lt;&gt;"",Pénalités!A23,"")</f>
        <v>0</v>
      </c>
      <c r="D22" s="321">
        <f t="shared" si="2"/>
        <v>0</v>
      </c>
      <c r="E22" s="322">
        <f t="shared" si="3"/>
        <v>0</v>
      </c>
      <c r="F22" s="322">
        <f t="shared" si="4"/>
        <v>0</v>
      </c>
      <c r="G22" s="323">
        <f t="shared" si="5"/>
        <v>0</v>
      </c>
      <c r="H22" s="322">
        <f t="shared" si="6"/>
        <v>0</v>
      </c>
      <c r="I22" s="324">
        <f t="shared" si="7"/>
        <v>0</v>
      </c>
      <c r="J22" s="324">
        <f t="shared" si="8"/>
        <v>0</v>
      </c>
      <c r="K22" s="324">
        <f t="shared" si="9"/>
        <v>0</v>
      </c>
      <c r="L22" s="324">
        <f t="shared" si="10"/>
        <v>0</v>
      </c>
      <c r="M22" s="324">
        <f t="shared" si="11"/>
        <v>0</v>
      </c>
      <c r="N22" s="324">
        <f t="shared" si="12"/>
        <v>0</v>
      </c>
      <c r="O22" s="324">
        <f t="shared" si="13"/>
        <v>0</v>
      </c>
      <c r="P22" s="325"/>
      <c r="Q22" s="326">
        <f t="shared" si="14"/>
        <v>0</v>
      </c>
      <c r="R22" s="326">
        <f t="shared" si="15"/>
        <v>0</v>
      </c>
      <c r="S22" s="327">
        <f t="shared" si="16"/>
        <v>0</v>
      </c>
    </row>
    <row r="23" spans="1:19" s="328" customFormat="1" ht="30" customHeight="1">
      <c r="A23" s="318">
        <f t="shared" si="0"/>
        <v>0</v>
      </c>
      <c r="B23" s="319">
        <f t="shared" si="1"/>
        <v>0</v>
      </c>
      <c r="C23" s="320">
        <f>IF(Pénalités!A24&lt;&gt;"",Pénalités!A24,"")</f>
        <v>0</v>
      </c>
      <c r="D23" s="321">
        <f t="shared" si="2"/>
        <v>0</v>
      </c>
      <c r="E23" s="322">
        <f t="shared" si="3"/>
        <v>0</v>
      </c>
      <c r="F23" s="322">
        <f t="shared" si="4"/>
        <v>0</v>
      </c>
      <c r="G23" s="323">
        <f t="shared" si="5"/>
        <v>0</v>
      </c>
      <c r="H23" s="322">
        <f t="shared" si="6"/>
        <v>0</v>
      </c>
      <c r="I23" s="320">
        <f t="shared" si="7"/>
        <v>0</v>
      </c>
      <c r="J23" s="320">
        <f t="shared" si="8"/>
        <v>0</v>
      </c>
      <c r="K23" s="320">
        <f t="shared" si="9"/>
        <v>0</v>
      </c>
      <c r="L23" s="320">
        <f t="shared" si="10"/>
        <v>0</v>
      </c>
      <c r="M23" s="320">
        <f t="shared" si="11"/>
        <v>0</v>
      </c>
      <c r="N23" s="320">
        <f t="shared" si="12"/>
        <v>0</v>
      </c>
      <c r="O23" s="320">
        <f t="shared" si="13"/>
        <v>0</v>
      </c>
      <c r="P23" s="325"/>
      <c r="Q23" s="326">
        <f t="shared" si="14"/>
        <v>0</v>
      </c>
      <c r="R23" s="326">
        <f t="shared" si="15"/>
        <v>0</v>
      </c>
      <c r="S23" s="327">
        <f t="shared" si="16"/>
        <v>0</v>
      </c>
    </row>
    <row r="24" spans="1:19" s="328" customFormat="1" ht="30" customHeight="1">
      <c r="A24" s="318">
        <f t="shared" si="0"/>
        <v>0</v>
      </c>
      <c r="B24" s="319">
        <f t="shared" si="1"/>
        <v>0</v>
      </c>
      <c r="C24" s="320">
        <f>IF(Pénalités!A25&lt;&gt;"",Pénalités!A25,"")</f>
        <v>0</v>
      </c>
      <c r="D24" s="321">
        <f t="shared" si="2"/>
        <v>0</v>
      </c>
      <c r="E24" s="322">
        <f t="shared" si="3"/>
        <v>0</v>
      </c>
      <c r="F24" s="322">
        <f t="shared" si="4"/>
        <v>0</v>
      </c>
      <c r="G24" s="323">
        <f t="shared" si="5"/>
        <v>0</v>
      </c>
      <c r="H24" s="322">
        <f t="shared" si="6"/>
        <v>0</v>
      </c>
      <c r="I24" s="324">
        <f t="shared" si="7"/>
        <v>0</v>
      </c>
      <c r="J24" s="324">
        <f t="shared" si="8"/>
        <v>0</v>
      </c>
      <c r="K24" s="324">
        <f t="shared" si="9"/>
        <v>0</v>
      </c>
      <c r="L24" s="324">
        <f t="shared" si="10"/>
        <v>0</v>
      </c>
      <c r="M24" s="324">
        <f t="shared" si="11"/>
        <v>0</v>
      </c>
      <c r="N24" s="324">
        <f t="shared" si="12"/>
        <v>0</v>
      </c>
      <c r="O24" s="324">
        <f t="shared" si="13"/>
        <v>0</v>
      </c>
      <c r="P24" s="325"/>
      <c r="Q24" s="326">
        <f t="shared" si="14"/>
        <v>0</v>
      </c>
      <c r="R24" s="326">
        <f t="shared" si="15"/>
        <v>0</v>
      </c>
      <c r="S24" s="327">
        <f t="shared" si="16"/>
        <v>0</v>
      </c>
    </row>
    <row r="25" spans="1:19" s="328" customFormat="1" ht="30" customHeight="1">
      <c r="A25" s="318">
        <f t="shared" si="0"/>
        <v>0</v>
      </c>
      <c r="B25" s="319">
        <f t="shared" si="1"/>
        <v>0</v>
      </c>
      <c r="C25" s="320">
        <f>IF(Pénalités!A26&lt;&gt;"",Pénalités!A26,"")</f>
        <v>0</v>
      </c>
      <c r="D25" s="321">
        <f t="shared" si="2"/>
        <v>0</v>
      </c>
      <c r="E25" s="322">
        <f t="shared" si="3"/>
        <v>0</v>
      </c>
      <c r="F25" s="322">
        <f t="shared" si="4"/>
        <v>0</v>
      </c>
      <c r="G25" s="323">
        <f t="shared" si="5"/>
        <v>0</v>
      </c>
      <c r="H25" s="322">
        <f t="shared" si="6"/>
        <v>0</v>
      </c>
      <c r="I25" s="324">
        <f t="shared" si="7"/>
        <v>0</v>
      </c>
      <c r="J25" s="324">
        <f t="shared" si="8"/>
        <v>0</v>
      </c>
      <c r="K25" s="324">
        <f t="shared" si="9"/>
        <v>0</v>
      </c>
      <c r="L25" s="324">
        <f t="shared" si="10"/>
        <v>0</v>
      </c>
      <c r="M25" s="324">
        <f t="shared" si="11"/>
        <v>0</v>
      </c>
      <c r="N25" s="324">
        <f t="shared" si="12"/>
        <v>0</v>
      </c>
      <c r="O25" s="324">
        <f t="shared" si="13"/>
        <v>0</v>
      </c>
      <c r="P25" s="325"/>
      <c r="Q25" s="326">
        <f t="shared" si="14"/>
        <v>0</v>
      </c>
      <c r="R25" s="326">
        <f t="shared" si="15"/>
        <v>0</v>
      </c>
      <c r="S25" s="327">
        <f t="shared" si="16"/>
        <v>0</v>
      </c>
    </row>
    <row r="26" spans="1:19" s="328" customFormat="1" ht="30" customHeight="1">
      <c r="A26" s="318">
        <f t="shared" si="0"/>
        <v>0</v>
      </c>
      <c r="B26" s="319">
        <f t="shared" si="1"/>
        <v>0</v>
      </c>
      <c r="C26" s="320">
        <f>IF(Pénalités!A27&lt;&gt;"",Pénalités!A27,"")</f>
        <v>0</v>
      </c>
      <c r="D26" s="321">
        <f t="shared" si="2"/>
        <v>0</v>
      </c>
      <c r="E26" s="322">
        <f t="shared" si="3"/>
        <v>0</v>
      </c>
      <c r="F26" s="322">
        <f t="shared" si="4"/>
        <v>0</v>
      </c>
      <c r="G26" s="323">
        <f t="shared" si="5"/>
        <v>0</v>
      </c>
      <c r="H26" s="322">
        <f t="shared" si="6"/>
        <v>0</v>
      </c>
      <c r="I26" s="324">
        <f t="shared" si="7"/>
        <v>0</v>
      </c>
      <c r="J26" s="324">
        <f t="shared" si="8"/>
        <v>0</v>
      </c>
      <c r="K26" s="324">
        <f t="shared" si="9"/>
        <v>0</v>
      </c>
      <c r="L26" s="324">
        <f t="shared" si="10"/>
        <v>0</v>
      </c>
      <c r="M26" s="324">
        <f t="shared" si="11"/>
        <v>0</v>
      </c>
      <c r="N26" s="324">
        <f t="shared" si="12"/>
        <v>0</v>
      </c>
      <c r="O26" s="324">
        <f t="shared" si="13"/>
        <v>0</v>
      </c>
      <c r="P26" s="325"/>
      <c r="Q26" s="326">
        <f t="shared" si="14"/>
        <v>0</v>
      </c>
      <c r="R26" s="326">
        <f t="shared" si="15"/>
        <v>0</v>
      </c>
      <c r="S26" s="327">
        <f t="shared" si="16"/>
        <v>0</v>
      </c>
    </row>
    <row r="27" spans="1:19" s="328" customFormat="1" ht="30" customHeight="1">
      <c r="A27" s="318">
        <f t="shared" si="0"/>
        <v>0</v>
      </c>
      <c r="B27" s="319">
        <f t="shared" si="1"/>
        <v>0</v>
      </c>
      <c r="C27" s="320">
        <f>IF(Pénalités!A28&lt;&gt;"",Pénalités!A28,"")</f>
        <v>0</v>
      </c>
      <c r="D27" s="321">
        <f t="shared" si="2"/>
        <v>0</v>
      </c>
      <c r="E27" s="322">
        <f t="shared" si="3"/>
        <v>0</v>
      </c>
      <c r="F27" s="322">
        <f t="shared" si="4"/>
        <v>0</v>
      </c>
      <c r="G27" s="323">
        <f t="shared" si="5"/>
        <v>0</v>
      </c>
      <c r="H27" s="322">
        <f t="shared" si="6"/>
        <v>0</v>
      </c>
      <c r="I27" s="324">
        <f t="shared" si="7"/>
        <v>0</v>
      </c>
      <c r="J27" s="324">
        <f t="shared" si="8"/>
        <v>0</v>
      </c>
      <c r="K27" s="324">
        <f t="shared" si="9"/>
        <v>0</v>
      </c>
      <c r="L27" s="324">
        <f t="shared" si="10"/>
        <v>0</v>
      </c>
      <c r="M27" s="324">
        <f t="shared" si="11"/>
        <v>0</v>
      </c>
      <c r="N27" s="324">
        <f t="shared" si="12"/>
        <v>0</v>
      </c>
      <c r="O27" s="324">
        <f t="shared" si="13"/>
        <v>0</v>
      </c>
      <c r="P27" s="325"/>
      <c r="Q27" s="326">
        <f t="shared" si="14"/>
        <v>0</v>
      </c>
      <c r="R27" s="326">
        <f t="shared" si="15"/>
        <v>0</v>
      </c>
      <c r="S27" s="327">
        <f t="shared" si="16"/>
        <v>0</v>
      </c>
    </row>
    <row r="28" spans="1:19" s="328" customFormat="1" ht="30" customHeight="1">
      <c r="A28" s="318">
        <f t="shared" si="0"/>
        <v>0</v>
      </c>
      <c r="B28" s="319">
        <f t="shared" si="1"/>
        <v>0</v>
      </c>
      <c r="C28" s="320">
        <f>IF(Pénalités!A29&lt;&gt;"",Pénalités!A29,"")</f>
        <v>0</v>
      </c>
      <c r="D28" s="321">
        <f t="shared" si="2"/>
        <v>0</v>
      </c>
      <c r="E28" s="322">
        <f t="shared" si="3"/>
        <v>0</v>
      </c>
      <c r="F28" s="322">
        <f t="shared" si="4"/>
        <v>0</v>
      </c>
      <c r="G28" s="323">
        <f t="shared" si="5"/>
        <v>0</v>
      </c>
      <c r="H28" s="322">
        <f t="shared" si="6"/>
        <v>0</v>
      </c>
      <c r="I28" s="324">
        <f t="shared" si="7"/>
        <v>0</v>
      </c>
      <c r="J28" s="324">
        <f t="shared" si="8"/>
        <v>0</v>
      </c>
      <c r="K28" s="324">
        <f t="shared" si="9"/>
        <v>0</v>
      </c>
      <c r="L28" s="324">
        <f t="shared" si="10"/>
        <v>0</v>
      </c>
      <c r="M28" s="324">
        <f t="shared" si="11"/>
        <v>0</v>
      </c>
      <c r="N28" s="324">
        <f t="shared" si="12"/>
        <v>0</v>
      </c>
      <c r="O28" s="324">
        <f t="shared" si="13"/>
        <v>0</v>
      </c>
      <c r="P28" s="325"/>
      <c r="Q28" s="326">
        <f t="shared" si="14"/>
        <v>0</v>
      </c>
      <c r="R28" s="326">
        <f t="shared" si="15"/>
        <v>0</v>
      </c>
      <c r="S28" s="327">
        <f t="shared" si="16"/>
        <v>0</v>
      </c>
    </row>
    <row r="29" spans="1:19" s="328" customFormat="1" ht="30" customHeight="1">
      <c r="A29" s="318">
        <f t="shared" si="0"/>
        <v>0</v>
      </c>
      <c r="B29" s="319">
        <f t="shared" si="1"/>
        <v>0</v>
      </c>
      <c r="C29" s="320">
        <f>IF(Pénalités!A30&lt;&gt;"",Pénalités!A30,"")</f>
        <v>0</v>
      </c>
      <c r="D29" s="321">
        <f t="shared" si="2"/>
        <v>0</v>
      </c>
      <c r="E29" s="322">
        <f t="shared" si="3"/>
        <v>0</v>
      </c>
      <c r="F29" s="322">
        <f t="shared" si="4"/>
        <v>0</v>
      </c>
      <c r="G29" s="323">
        <f t="shared" si="5"/>
        <v>0</v>
      </c>
      <c r="H29" s="322">
        <f t="shared" si="6"/>
        <v>0</v>
      </c>
      <c r="I29" s="324">
        <f t="shared" si="7"/>
        <v>0</v>
      </c>
      <c r="J29" s="324">
        <f t="shared" si="8"/>
        <v>0</v>
      </c>
      <c r="K29" s="324">
        <f t="shared" si="9"/>
        <v>0</v>
      </c>
      <c r="L29" s="324">
        <f t="shared" si="10"/>
        <v>0</v>
      </c>
      <c r="M29" s="324">
        <f t="shared" si="11"/>
        <v>0</v>
      </c>
      <c r="N29" s="324">
        <f t="shared" si="12"/>
        <v>0</v>
      </c>
      <c r="O29" s="324">
        <f t="shared" si="13"/>
        <v>0</v>
      </c>
      <c r="P29" s="325"/>
      <c r="Q29" s="326">
        <f t="shared" si="14"/>
        <v>0</v>
      </c>
      <c r="R29" s="326">
        <f t="shared" si="15"/>
        <v>0</v>
      </c>
      <c r="S29" s="327">
        <f t="shared" si="16"/>
        <v>0</v>
      </c>
    </row>
    <row r="30" spans="1:19" s="328" customFormat="1" ht="30" customHeight="1">
      <c r="A30" s="318">
        <f t="shared" si="0"/>
        <v>0</v>
      </c>
      <c r="B30" s="319">
        <f t="shared" si="1"/>
        <v>0</v>
      </c>
      <c r="C30" s="320">
        <f>IF(Pénalités!A31&lt;&gt;"",Pénalités!A31,"")</f>
        <v>0</v>
      </c>
      <c r="D30" s="321">
        <f t="shared" si="2"/>
        <v>0</v>
      </c>
      <c r="E30" s="322">
        <f t="shared" si="3"/>
        <v>0</v>
      </c>
      <c r="F30" s="322">
        <f t="shared" si="4"/>
        <v>0</v>
      </c>
      <c r="G30" s="323">
        <f t="shared" si="5"/>
        <v>0</v>
      </c>
      <c r="H30" s="322">
        <f t="shared" si="6"/>
        <v>0</v>
      </c>
      <c r="I30" s="324">
        <f t="shared" si="7"/>
        <v>0</v>
      </c>
      <c r="J30" s="324">
        <f t="shared" si="8"/>
        <v>0</v>
      </c>
      <c r="K30" s="324">
        <f t="shared" si="9"/>
        <v>0</v>
      </c>
      <c r="L30" s="324">
        <f t="shared" si="10"/>
        <v>0</v>
      </c>
      <c r="M30" s="324">
        <f t="shared" si="11"/>
        <v>0</v>
      </c>
      <c r="N30" s="324">
        <f t="shared" si="12"/>
        <v>0</v>
      </c>
      <c r="O30" s="324">
        <f t="shared" si="13"/>
        <v>0</v>
      </c>
      <c r="P30" s="325"/>
      <c r="Q30" s="326">
        <f t="shared" si="14"/>
        <v>0</v>
      </c>
      <c r="R30" s="326">
        <f t="shared" si="15"/>
        <v>0</v>
      </c>
      <c r="S30" s="327">
        <f t="shared" si="16"/>
        <v>0</v>
      </c>
    </row>
    <row r="31" spans="1:19" s="328" customFormat="1" ht="30" customHeight="1">
      <c r="A31" s="318">
        <f t="shared" si="0"/>
        <v>0</v>
      </c>
      <c r="B31" s="319">
        <f t="shared" si="1"/>
        <v>0</v>
      </c>
      <c r="C31" s="320">
        <f>IF(Pénalités!A32&lt;&gt;"",Pénalités!A32,"")</f>
        <v>0</v>
      </c>
      <c r="D31" s="321">
        <f t="shared" si="2"/>
        <v>0</v>
      </c>
      <c r="E31" s="322">
        <f t="shared" si="3"/>
        <v>0</v>
      </c>
      <c r="F31" s="322">
        <f t="shared" si="4"/>
        <v>0</v>
      </c>
      <c r="G31" s="323">
        <f t="shared" si="5"/>
        <v>0</v>
      </c>
      <c r="H31" s="322">
        <f t="shared" si="6"/>
        <v>0</v>
      </c>
      <c r="I31" s="324">
        <f t="shared" si="7"/>
        <v>0</v>
      </c>
      <c r="J31" s="324">
        <f t="shared" si="8"/>
        <v>0</v>
      </c>
      <c r="K31" s="324">
        <f t="shared" si="9"/>
        <v>0</v>
      </c>
      <c r="L31" s="324">
        <f t="shared" si="10"/>
        <v>0</v>
      </c>
      <c r="M31" s="324">
        <f t="shared" si="11"/>
        <v>0</v>
      </c>
      <c r="N31" s="324">
        <f t="shared" si="12"/>
        <v>0</v>
      </c>
      <c r="O31" s="324">
        <f t="shared" si="13"/>
        <v>0</v>
      </c>
      <c r="P31" s="325"/>
      <c r="Q31" s="326">
        <f t="shared" si="14"/>
        <v>0</v>
      </c>
      <c r="R31" s="326">
        <f t="shared" si="15"/>
        <v>0</v>
      </c>
      <c r="S31" s="327">
        <f t="shared" si="16"/>
        <v>0</v>
      </c>
    </row>
    <row r="32" spans="1:19" s="328" customFormat="1" ht="30" customHeight="1">
      <c r="A32" s="318">
        <f t="shared" si="0"/>
        <v>0</v>
      </c>
      <c r="B32" s="319">
        <f t="shared" si="1"/>
        <v>0</v>
      </c>
      <c r="C32" s="320">
        <f>IF(Pénalités!A33&lt;&gt;"",Pénalités!A33,"")</f>
        <v>0</v>
      </c>
      <c r="D32" s="321">
        <f t="shared" si="2"/>
        <v>0</v>
      </c>
      <c r="E32" s="322">
        <f t="shared" si="3"/>
        <v>0</v>
      </c>
      <c r="F32" s="322">
        <f t="shared" si="4"/>
        <v>0</v>
      </c>
      <c r="G32" s="323">
        <f t="shared" si="5"/>
        <v>0</v>
      </c>
      <c r="H32" s="322">
        <f t="shared" si="6"/>
        <v>0</v>
      </c>
      <c r="I32" s="324">
        <f t="shared" si="7"/>
        <v>0</v>
      </c>
      <c r="J32" s="324">
        <f t="shared" si="8"/>
        <v>0</v>
      </c>
      <c r="K32" s="324">
        <f t="shared" si="9"/>
        <v>0</v>
      </c>
      <c r="L32" s="324">
        <f t="shared" si="10"/>
        <v>0</v>
      </c>
      <c r="M32" s="324">
        <f t="shared" si="11"/>
        <v>0</v>
      </c>
      <c r="N32" s="324">
        <f t="shared" si="12"/>
        <v>0</v>
      </c>
      <c r="O32" s="324">
        <f t="shared" si="13"/>
        <v>0</v>
      </c>
      <c r="P32" s="325"/>
      <c r="Q32" s="326">
        <f t="shared" si="14"/>
        <v>0</v>
      </c>
      <c r="R32" s="326">
        <f t="shared" si="15"/>
        <v>0</v>
      </c>
      <c r="S32" s="327">
        <f t="shared" si="16"/>
        <v>0</v>
      </c>
    </row>
    <row r="33" spans="1:19" s="328" customFormat="1" ht="30" customHeight="1">
      <c r="A33" s="318">
        <f t="shared" si="0"/>
        <v>0</v>
      </c>
      <c r="B33" s="319">
        <f t="shared" si="1"/>
        <v>0</v>
      </c>
      <c r="C33" s="320">
        <f>IF(Pénalités!A34&lt;&gt;"",Pénalités!A34,"")</f>
        <v>0</v>
      </c>
      <c r="D33" s="321">
        <f t="shared" si="2"/>
        <v>0</v>
      </c>
      <c r="E33" s="322">
        <f t="shared" si="3"/>
        <v>0</v>
      </c>
      <c r="F33" s="322">
        <f t="shared" si="4"/>
        <v>0</v>
      </c>
      <c r="G33" s="323">
        <f t="shared" si="5"/>
        <v>0</v>
      </c>
      <c r="H33" s="322">
        <f t="shared" si="6"/>
        <v>0</v>
      </c>
      <c r="I33" s="324">
        <f t="shared" si="7"/>
        <v>0</v>
      </c>
      <c r="J33" s="324">
        <f t="shared" si="8"/>
        <v>0</v>
      </c>
      <c r="K33" s="324">
        <f t="shared" si="9"/>
        <v>0</v>
      </c>
      <c r="L33" s="324">
        <f t="shared" si="10"/>
        <v>0</v>
      </c>
      <c r="M33" s="324">
        <f t="shared" si="11"/>
        <v>0</v>
      </c>
      <c r="N33" s="324">
        <f t="shared" si="12"/>
        <v>0</v>
      </c>
      <c r="O33" s="324">
        <f t="shared" si="13"/>
        <v>0</v>
      </c>
      <c r="P33" s="325"/>
      <c r="Q33" s="326">
        <f t="shared" si="14"/>
        <v>0</v>
      </c>
      <c r="R33" s="326">
        <f t="shared" si="15"/>
        <v>0</v>
      </c>
      <c r="S33" s="327">
        <f t="shared" si="16"/>
        <v>0</v>
      </c>
    </row>
    <row r="34" spans="1:19" s="328" customFormat="1" ht="30" customHeight="1">
      <c r="A34" s="318">
        <f t="shared" si="0"/>
        <v>0</v>
      </c>
      <c r="B34" s="319">
        <f t="shared" si="1"/>
        <v>0</v>
      </c>
      <c r="C34" s="320">
        <f>IF(Pénalités!A35&lt;&gt;"",Pénalités!A35,"")</f>
        <v>0</v>
      </c>
      <c r="D34" s="321">
        <f t="shared" si="2"/>
        <v>0</v>
      </c>
      <c r="E34" s="322">
        <f t="shared" si="3"/>
        <v>0</v>
      </c>
      <c r="F34" s="322">
        <f t="shared" si="4"/>
        <v>0</v>
      </c>
      <c r="G34" s="323">
        <f t="shared" si="5"/>
        <v>0</v>
      </c>
      <c r="H34" s="322">
        <f t="shared" si="6"/>
        <v>0</v>
      </c>
      <c r="I34" s="324">
        <f t="shared" si="7"/>
        <v>0</v>
      </c>
      <c r="J34" s="324">
        <f t="shared" si="8"/>
        <v>0</v>
      </c>
      <c r="K34" s="324">
        <f t="shared" si="9"/>
        <v>0</v>
      </c>
      <c r="L34" s="324">
        <f t="shared" si="10"/>
        <v>0</v>
      </c>
      <c r="M34" s="324">
        <f t="shared" si="11"/>
        <v>0</v>
      </c>
      <c r="N34" s="324">
        <f t="shared" si="12"/>
        <v>0</v>
      </c>
      <c r="O34" s="324">
        <f t="shared" si="13"/>
        <v>0</v>
      </c>
      <c r="P34" s="325"/>
      <c r="Q34" s="326">
        <f t="shared" si="14"/>
        <v>0</v>
      </c>
      <c r="R34" s="326">
        <f t="shared" si="15"/>
        <v>0</v>
      </c>
      <c r="S34" s="327">
        <f t="shared" si="16"/>
        <v>0</v>
      </c>
    </row>
    <row r="35" spans="1:19" s="328" customFormat="1" ht="30" customHeight="1">
      <c r="A35" s="318">
        <f t="shared" si="0"/>
        <v>0</v>
      </c>
      <c r="B35" s="319">
        <f t="shared" si="1"/>
        <v>0</v>
      </c>
      <c r="C35" s="320">
        <f>IF(Pénalités!A36&lt;&gt;"",Pénalités!A36,"")</f>
        <v>0</v>
      </c>
      <c r="D35" s="321">
        <f t="shared" si="2"/>
        <v>0</v>
      </c>
      <c r="E35" s="322">
        <f t="shared" si="3"/>
        <v>0</v>
      </c>
      <c r="F35" s="322">
        <f t="shared" si="4"/>
        <v>0</v>
      </c>
      <c r="G35" s="323">
        <f t="shared" si="5"/>
        <v>0</v>
      </c>
      <c r="H35" s="322">
        <f t="shared" si="6"/>
        <v>0</v>
      </c>
      <c r="I35" s="324">
        <f t="shared" si="7"/>
        <v>0</v>
      </c>
      <c r="J35" s="324">
        <f t="shared" si="8"/>
        <v>0</v>
      </c>
      <c r="K35" s="324">
        <f t="shared" si="9"/>
        <v>0</v>
      </c>
      <c r="L35" s="324">
        <f t="shared" si="10"/>
        <v>0</v>
      </c>
      <c r="M35" s="324">
        <f t="shared" si="11"/>
        <v>0</v>
      </c>
      <c r="N35" s="324">
        <f t="shared" si="12"/>
        <v>0</v>
      </c>
      <c r="O35" s="324">
        <f t="shared" si="13"/>
        <v>0</v>
      </c>
      <c r="P35" s="325"/>
      <c r="Q35" s="326">
        <f t="shared" si="14"/>
        <v>0</v>
      </c>
      <c r="R35" s="326">
        <f t="shared" si="15"/>
        <v>0</v>
      </c>
      <c r="S35" s="327">
        <f t="shared" si="16"/>
        <v>0</v>
      </c>
    </row>
    <row r="36" spans="1:19" s="328" customFormat="1" ht="30" customHeight="1">
      <c r="A36" s="318">
        <f t="shared" si="0"/>
        <v>0</v>
      </c>
      <c r="B36" s="319">
        <f t="shared" si="1"/>
        <v>0</v>
      </c>
      <c r="C36" s="320">
        <f>IF(Pénalités!A37&lt;&gt;"",Pénalités!A37,"")</f>
        <v>0</v>
      </c>
      <c r="D36" s="321">
        <f t="shared" si="2"/>
        <v>0</v>
      </c>
      <c r="E36" s="322">
        <f t="shared" si="3"/>
        <v>0</v>
      </c>
      <c r="F36" s="322">
        <f t="shared" si="4"/>
        <v>0</v>
      </c>
      <c r="G36" s="323">
        <f t="shared" si="5"/>
        <v>0</v>
      </c>
      <c r="H36" s="322">
        <f t="shared" si="6"/>
        <v>0</v>
      </c>
      <c r="I36" s="324">
        <f t="shared" si="7"/>
        <v>0</v>
      </c>
      <c r="J36" s="324">
        <f t="shared" si="8"/>
        <v>0</v>
      </c>
      <c r="K36" s="324">
        <f t="shared" si="9"/>
        <v>0</v>
      </c>
      <c r="L36" s="324">
        <f t="shared" si="10"/>
        <v>0</v>
      </c>
      <c r="M36" s="324">
        <f t="shared" si="11"/>
        <v>0</v>
      </c>
      <c r="N36" s="324">
        <f t="shared" si="12"/>
        <v>0</v>
      </c>
      <c r="O36" s="324">
        <f t="shared" si="13"/>
        <v>0</v>
      </c>
      <c r="P36" s="325"/>
      <c r="Q36" s="326">
        <f t="shared" si="14"/>
        <v>0</v>
      </c>
      <c r="R36" s="326">
        <f t="shared" si="15"/>
        <v>0</v>
      </c>
      <c r="S36" s="327">
        <f t="shared" si="16"/>
        <v>0</v>
      </c>
    </row>
    <row r="37" spans="1:19" s="328" customFormat="1" ht="30" customHeight="1">
      <c r="A37" s="318">
        <f t="shared" si="0"/>
        <v>0</v>
      </c>
      <c r="B37" s="319">
        <f t="shared" si="1"/>
        <v>0</v>
      </c>
      <c r="C37" s="320">
        <f>IF(Pénalités!A38&lt;&gt;"",Pénalités!A38,"")</f>
        <v>0</v>
      </c>
      <c r="D37" s="321">
        <f t="shared" si="2"/>
        <v>0</v>
      </c>
      <c r="E37" s="322">
        <f t="shared" si="3"/>
        <v>0</v>
      </c>
      <c r="F37" s="322">
        <f t="shared" si="4"/>
        <v>0</v>
      </c>
      <c r="G37" s="323">
        <f t="shared" si="5"/>
        <v>0</v>
      </c>
      <c r="H37" s="322">
        <f t="shared" si="6"/>
        <v>0</v>
      </c>
      <c r="I37" s="324">
        <f t="shared" si="7"/>
        <v>0</v>
      </c>
      <c r="J37" s="324">
        <f t="shared" si="8"/>
        <v>0</v>
      </c>
      <c r="K37" s="324">
        <f t="shared" si="9"/>
        <v>0</v>
      </c>
      <c r="L37" s="324">
        <f t="shared" si="10"/>
        <v>0</v>
      </c>
      <c r="M37" s="324">
        <f t="shared" si="11"/>
        <v>0</v>
      </c>
      <c r="N37" s="324">
        <f t="shared" si="12"/>
        <v>0</v>
      </c>
      <c r="O37" s="324">
        <f t="shared" si="13"/>
        <v>0</v>
      </c>
      <c r="P37" s="325"/>
      <c r="Q37" s="326">
        <f t="shared" si="14"/>
        <v>0</v>
      </c>
      <c r="R37" s="326">
        <f t="shared" si="15"/>
        <v>0</v>
      </c>
      <c r="S37" s="327">
        <f t="shared" si="16"/>
        <v>0</v>
      </c>
    </row>
    <row r="38" spans="1:19" s="328" customFormat="1" ht="30" customHeight="1">
      <c r="A38" s="318">
        <f t="shared" si="0"/>
        <v>0</v>
      </c>
      <c r="B38" s="319">
        <f t="shared" si="1"/>
        <v>0</v>
      </c>
      <c r="C38" s="320">
        <f>IF(Pénalités!A39&lt;&gt;"",Pénalités!A39,"")</f>
        <v>0</v>
      </c>
      <c r="D38" s="321">
        <f t="shared" si="2"/>
        <v>0</v>
      </c>
      <c r="E38" s="322">
        <f t="shared" si="3"/>
        <v>0</v>
      </c>
      <c r="F38" s="322">
        <f t="shared" si="4"/>
        <v>0</v>
      </c>
      <c r="G38" s="323">
        <f t="shared" si="5"/>
        <v>0</v>
      </c>
      <c r="H38" s="322">
        <f t="shared" si="6"/>
        <v>0</v>
      </c>
      <c r="I38" s="324">
        <f t="shared" si="7"/>
        <v>0</v>
      </c>
      <c r="J38" s="324">
        <f t="shared" si="8"/>
        <v>0</v>
      </c>
      <c r="K38" s="324">
        <f t="shared" si="9"/>
        <v>0</v>
      </c>
      <c r="L38" s="324">
        <f t="shared" si="10"/>
        <v>0</v>
      </c>
      <c r="M38" s="324">
        <f t="shared" si="11"/>
        <v>0</v>
      </c>
      <c r="N38" s="324">
        <f t="shared" si="12"/>
        <v>0</v>
      </c>
      <c r="O38" s="324">
        <f t="shared" si="13"/>
        <v>0</v>
      </c>
      <c r="P38" s="325"/>
      <c r="Q38" s="326">
        <f t="shared" si="14"/>
        <v>0</v>
      </c>
      <c r="R38" s="326">
        <f t="shared" si="15"/>
        <v>0</v>
      </c>
      <c r="S38" s="327">
        <f t="shared" si="16"/>
        <v>0</v>
      </c>
    </row>
    <row r="39" spans="1:19" s="328" customFormat="1" ht="30" customHeight="1">
      <c r="A39" s="318">
        <f t="shared" si="0"/>
        <v>0</v>
      </c>
      <c r="B39" s="319">
        <f t="shared" si="1"/>
        <v>0</v>
      </c>
      <c r="C39" s="320">
        <f>IF(Pénalités!A40&lt;&gt;"",Pénalités!A40,"")</f>
        <v>0</v>
      </c>
      <c r="D39" s="321">
        <f t="shared" si="2"/>
        <v>0</v>
      </c>
      <c r="E39" s="322">
        <f t="shared" si="3"/>
        <v>0</v>
      </c>
      <c r="F39" s="322">
        <f t="shared" si="4"/>
        <v>0</v>
      </c>
      <c r="G39" s="323">
        <f t="shared" si="5"/>
        <v>0</v>
      </c>
      <c r="H39" s="322">
        <f t="shared" si="6"/>
        <v>0</v>
      </c>
      <c r="I39" s="324">
        <f t="shared" si="7"/>
        <v>0</v>
      </c>
      <c r="J39" s="324">
        <f t="shared" si="8"/>
        <v>0</v>
      </c>
      <c r="K39" s="324">
        <f t="shared" si="9"/>
        <v>0</v>
      </c>
      <c r="L39" s="324">
        <f t="shared" si="10"/>
        <v>0</v>
      </c>
      <c r="M39" s="324">
        <f t="shared" si="11"/>
        <v>0</v>
      </c>
      <c r="N39" s="324">
        <f t="shared" si="12"/>
        <v>0</v>
      </c>
      <c r="O39" s="324">
        <f t="shared" si="13"/>
        <v>0</v>
      </c>
      <c r="P39" s="325"/>
      <c r="Q39" s="326">
        <f t="shared" si="14"/>
        <v>0</v>
      </c>
      <c r="R39" s="326">
        <f t="shared" si="15"/>
        <v>0</v>
      </c>
      <c r="S39" s="327">
        <f t="shared" si="16"/>
        <v>0</v>
      </c>
    </row>
    <row r="40" spans="1:19" s="328" customFormat="1" ht="30" customHeight="1">
      <c r="A40" s="318">
        <f t="shared" si="0"/>
        <v>0</v>
      </c>
      <c r="B40" s="319">
        <f t="shared" si="1"/>
        <v>0</v>
      </c>
      <c r="C40" s="320">
        <f>IF(Pénalités!A41&lt;&gt;"",Pénalités!A41,"")</f>
        <v>0</v>
      </c>
      <c r="D40" s="321">
        <f t="shared" si="2"/>
        <v>0</v>
      </c>
      <c r="E40" s="322">
        <f t="shared" si="3"/>
        <v>0</v>
      </c>
      <c r="F40" s="322">
        <f t="shared" si="4"/>
        <v>0</v>
      </c>
      <c r="G40" s="323">
        <f t="shared" si="5"/>
        <v>0</v>
      </c>
      <c r="H40" s="322">
        <f t="shared" si="6"/>
        <v>0</v>
      </c>
      <c r="I40" s="324">
        <f t="shared" si="7"/>
        <v>0</v>
      </c>
      <c r="J40" s="324">
        <f t="shared" si="8"/>
        <v>0</v>
      </c>
      <c r="K40" s="324">
        <f t="shared" si="9"/>
        <v>0</v>
      </c>
      <c r="L40" s="324">
        <f t="shared" si="10"/>
        <v>0</v>
      </c>
      <c r="M40" s="324">
        <f t="shared" si="11"/>
        <v>0</v>
      </c>
      <c r="N40" s="324">
        <f t="shared" si="12"/>
        <v>0</v>
      </c>
      <c r="O40" s="324">
        <f t="shared" si="13"/>
        <v>0</v>
      </c>
      <c r="P40" s="325"/>
      <c r="Q40" s="326">
        <f t="shared" si="14"/>
        <v>0</v>
      </c>
      <c r="R40" s="326">
        <f t="shared" si="15"/>
        <v>0</v>
      </c>
      <c r="S40" s="327">
        <f t="shared" si="16"/>
        <v>0</v>
      </c>
    </row>
    <row r="41" spans="1:19" s="328" customFormat="1" ht="30" customHeight="1">
      <c r="A41" s="318">
        <f t="shared" si="0"/>
        <v>0</v>
      </c>
      <c r="B41" s="319">
        <f t="shared" si="1"/>
        <v>0</v>
      </c>
      <c r="C41" s="320">
        <f>IF(Pénalités!A42&lt;&gt;"",Pénalités!A42,"")</f>
        <v>0</v>
      </c>
      <c r="D41" s="321">
        <f t="shared" si="2"/>
        <v>0</v>
      </c>
      <c r="E41" s="322">
        <f t="shared" si="3"/>
        <v>0</v>
      </c>
      <c r="F41" s="322">
        <f t="shared" si="4"/>
        <v>0</v>
      </c>
      <c r="G41" s="323">
        <f t="shared" si="5"/>
        <v>0</v>
      </c>
      <c r="H41" s="322">
        <f t="shared" si="6"/>
        <v>0</v>
      </c>
      <c r="I41" s="324">
        <f t="shared" si="7"/>
        <v>0</v>
      </c>
      <c r="J41" s="324">
        <f t="shared" si="8"/>
        <v>0</v>
      </c>
      <c r="K41" s="324">
        <f t="shared" si="9"/>
        <v>0</v>
      </c>
      <c r="L41" s="324">
        <f t="shared" si="10"/>
        <v>0</v>
      </c>
      <c r="M41" s="324">
        <f t="shared" si="11"/>
        <v>0</v>
      </c>
      <c r="N41" s="324">
        <f t="shared" si="12"/>
        <v>0</v>
      </c>
      <c r="O41" s="324">
        <f t="shared" si="13"/>
        <v>0</v>
      </c>
      <c r="P41" s="325"/>
      <c r="Q41" s="326">
        <f t="shared" si="14"/>
        <v>0</v>
      </c>
      <c r="R41" s="326">
        <f t="shared" si="15"/>
        <v>0</v>
      </c>
      <c r="S41" s="327">
        <f t="shared" si="16"/>
        <v>0</v>
      </c>
    </row>
    <row r="42" spans="1:19" s="328" customFormat="1" ht="30" customHeight="1">
      <c r="A42" s="318">
        <f t="shared" si="0"/>
        <v>0</v>
      </c>
      <c r="B42" s="319">
        <f t="shared" si="1"/>
        <v>0</v>
      </c>
      <c r="C42" s="320">
        <f>IF(Pénalités!A43&lt;&gt;"",Pénalités!A43,"")</f>
        <v>0</v>
      </c>
      <c r="D42" s="321">
        <f t="shared" si="2"/>
        <v>0</v>
      </c>
      <c r="E42" s="322">
        <f t="shared" si="3"/>
        <v>0</v>
      </c>
      <c r="F42" s="322">
        <f t="shared" si="4"/>
        <v>0</v>
      </c>
      <c r="G42" s="323">
        <f t="shared" si="5"/>
        <v>0</v>
      </c>
      <c r="H42" s="322">
        <f t="shared" si="6"/>
        <v>0</v>
      </c>
      <c r="I42" s="324">
        <f t="shared" si="7"/>
        <v>0</v>
      </c>
      <c r="J42" s="324">
        <f t="shared" si="8"/>
        <v>0</v>
      </c>
      <c r="K42" s="324">
        <f t="shared" si="9"/>
        <v>0</v>
      </c>
      <c r="L42" s="324">
        <f t="shared" si="10"/>
        <v>0</v>
      </c>
      <c r="M42" s="324">
        <f t="shared" si="11"/>
        <v>0</v>
      </c>
      <c r="N42" s="324">
        <f t="shared" si="12"/>
        <v>0</v>
      </c>
      <c r="O42" s="324">
        <f t="shared" si="13"/>
        <v>0</v>
      </c>
      <c r="P42" s="325"/>
      <c r="Q42" s="326">
        <f t="shared" si="14"/>
        <v>0</v>
      </c>
      <c r="R42" s="326">
        <f t="shared" si="15"/>
        <v>0</v>
      </c>
      <c r="S42" s="327">
        <f t="shared" si="16"/>
        <v>0</v>
      </c>
    </row>
    <row r="43" spans="1:19" s="328" customFormat="1" ht="30" customHeight="1">
      <c r="A43" s="318">
        <f t="shared" si="0"/>
        <v>0</v>
      </c>
      <c r="B43" s="319">
        <f t="shared" si="1"/>
        <v>0</v>
      </c>
      <c r="C43" s="320">
        <f>IF(Pénalités!A44&lt;&gt;"",Pénalités!A44,"")</f>
        <v>0</v>
      </c>
      <c r="D43" s="321">
        <f t="shared" si="2"/>
        <v>0</v>
      </c>
      <c r="E43" s="322">
        <f t="shared" si="3"/>
        <v>0</v>
      </c>
      <c r="F43" s="322">
        <f t="shared" si="4"/>
        <v>0</v>
      </c>
      <c r="G43" s="323">
        <f t="shared" si="5"/>
        <v>0</v>
      </c>
      <c r="H43" s="322">
        <f t="shared" si="6"/>
        <v>0</v>
      </c>
      <c r="I43" s="324">
        <f t="shared" si="7"/>
        <v>0</v>
      </c>
      <c r="J43" s="324">
        <f t="shared" si="8"/>
        <v>0</v>
      </c>
      <c r="K43" s="324">
        <f t="shared" si="9"/>
        <v>0</v>
      </c>
      <c r="L43" s="324">
        <f t="shared" si="10"/>
        <v>0</v>
      </c>
      <c r="M43" s="324">
        <f t="shared" si="11"/>
        <v>0</v>
      </c>
      <c r="N43" s="324">
        <f t="shared" si="12"/>
        <v>0</v>
      </c>
      <c r="O43" s="324">
        <f t="shared" si="13"/>
        <v>0</v>
      </c>
      <c r="P43" s="325"/>
      <c r="Q43" s="326">
        <f t="shared" si="14"/>
        <v>0</v>
      </c>
      <c r="R43" s="326">
        <f t="shared" si="15"/>
        <v>0</v>
      </c>
      <c r="S43" s="327">
        <f t="shared" si="16"/>
        <v>0</v>
      </c>
    </row>
    <row r="44" spans="1:19" s="328" customFormat="1" ht="30" customHeight="1">
      <c r="A44" s="318">
        <f t="shared" si="0"/>
        <v>0</v>
      </c>
      <c r="B44" s="319">
        <f t="shared" si="1"/>
        <v>0</v>
      </c>
      <c r="C44" s="320">
        <f>IF(Pénalités!A45&lt;&gt;"",Pénalités!A45,"")</f>
        <v>0</v>
      </c>
      <c r="D44" s="321">
        <f t="shared" si="2"/>
        <v>0</v>
      </c>
      <c r="E44" s="322">
        <f t="shared" si="3"/>
        <v>0</v>
      </c>
      <c r="F44" s="322">
        <f t="shared" si="4"/>
        <v>0</v>
      </c>
      <c r="G44" s="323">
        <f t="shared" si="5"/>
        <v>0</v>
      </c>
      <c r="H44" s="322">
        <f t="shared" si="6"/>
        <v>0</v>
      </c>
      <c r="I44" s="324">
        <f t="shared" si="7"/>
        <v>0</v>
      </c>
      <c r="J44" s="324">
        <f t="shared" si="8"/>
        <v>0</v>
      </c>
      <c r="K44" s="324">
        <f t="shared" si="9"/>
        <v>0</v>
      </c>
      <c r="L44" s="324">
        <f t="shared" si="10"/>
        <v>0</v>
      </c>
      <c r="M44" s="324">
        <f t="shared" si="11"/>
        <v>0</v>
      </c>
      <c r="N44" s="324">
        <f t="shared" si="12"/>
        <v>0</v>
      </c>
      <c r="O44" s="324">
        <f t="shared" si="13"/>
        <v>0</v>
      </c>
      <c r="P44" s="325"/>
      <c r="Q44" s="326">
        <f t="shared" si="14"/>
        <v>0</v>
      </c>
      <c r="R44" s="326">
        <f t="shared" si="15"/>
        <v>0</v>
      </c>
      <c r="S44" s="327">
        <f t="shared" si="16"/>
        <v>0</v>
      </c>
    </row>
    <row r="45" spans="1:19" s="328" customFormat="1" ht="30" customHeight="1">
      <c r="A45" s="318">
        <f t="shared" si="0"/>
        <v>0</v>
      </c>
      <c r="B45" s="319">
        <f t="shared" si="1"/>
        <v>0</v>
      </c>
      <c r="C45" s="320">
        <f>IF(Pénalités!A46&lt;&gt;"",Pénalités!A46,"")</f>
        <v>0</v>
      </c>
      <c r="D45" s="321">
        <f t="shared" si="2"/>
        <v>0</v>
      </c>
      <c r="E45" s="322">
        <f t="shared" si="3"/>
        <v>0</v>
      </c>
      <c r="F45" s="322">
        <f t="shared" si="4"/>
        <v>0</v>
      </c>
      <c r="G45" s="323">
        <f t="shared" si="5"/>
        <v>0</v>
      </c>
      <c r="H45" s="322">
        <f t="shared" si="6"/>
        <v>0</v>
      </c>
      <c r="I45" s="324">
        <f t="shared" si="7"/>
        <v>0</v>
      </c>
      <c r="J45" s="324">
        <f t="shared" si="8"/>
        <v>0</v>
      </c>
      <c r="K45" s="324">
        <f t="shared" si="9"/>
        <v>0</v>
      </c>
      <c r="L45" s="324">
        <f t="shared" si="10"/>
        <v>0</v>
      </c>
      <c r="M45" s="324">
        <f t="shared" si="11"/>
        <v>0</v>
      </c>
      <c r="N45" s="324">
        <f t="shared" si="12"/>
        <v>0</v>
      </c>
      <c r="O45" s="324">
        <f t="shared" si="13"/>
        <v>0</v>
      </c>
      <c r="P45" s="325"/>
      <c r="Q45" s="326">
        <f t="shared" si="14"/>
        <v>0</v>
      </c>
      <c r="R45" s="326">
        <f t="shared" si="15"/>
        <v>0</v>
      </c>
      <c r="S45" s="327">
        <f t="shared" si="16"/>
        <v>0</v>
      </c>
    </row>
    <row r="46" spans="1:19" s="328" customFormat="1" ht="30" customHeight="1">
      <c r="A46" s="318">
        <f t="shared" si="0"/>
        <v>0</v>
      </c>
      <c r="B46" s="319">
        <f t="shared" si="1"/>
        <v>0</v>
      </c>
      <c r="C46" s="320">
        <f>IF(Pénalités!A47&lt;&gt;"",Pénalités!A47,"")</f>
        <v>0</v>
      </c>
      <c r="D46" s="321">
        <f t="shared" si="2"/>
        <v>0</v>
      </c>
      <c r="E46" s="322">
        <f t="shared" si="3"/>
        <v>0</v>
      </c>
      <c r="F46" s="322">
        <f t="shared" si="4"/>
        <v>0</v>
      </c>
      <c r="G46" s="323">
        <f t="shared" si="5"/>
        <v>0</v>
      </c>
      <c r="H46" s="322">
        <f t="shared" si="6"/>
        <v>0</v>
      </c>
      <c r="I46" s="324">
        <f t="shared" si="7"/>
        <v>0</v>
      </c>
      <c r="J46" s="324">
        <f t="shared" si="8"/>
        <v>0</v>
      </c>
      <c r="K46" s="324">
        <f t="shared" si="9"/>
        <v>0</v>
      </c>
      <c r="L46" s="324">
        <f t="shared" si="10"/>
        <v>0</v>
      </c>
      <c r="M46" s="324">
        <f t="shared" si="11"/>
        <v>0</v>
      </c>
      <c r="N46" s="324">
        <f t="shared" si="12"/>
        <v>0</v>
      </c>
      <c r="O46" s="324">
        <f t="shared" si="13"/>
        <v>0</v>
      </c>
      <c r="P46" s="325"/>
      <c r="Q46" s="326">
        <f t="shared" si="14"/>
        <v>0</v>
      </c>
      <c r="R46" s="326">
        <f t="shared" si="15"/>
        <v>0</v>
      </c>
      <c r="S46" s="327">
        <f t="shared" si="16"/>
        <v>0</v>
      </c>
    </row>
    <row r="47" spans="1:19" s="328" customFormat="1" ht="30" customHeight="1">
      <c r="A47" s="318">
        <f t="shared" si="0"/>
        <v>0</v>
      </c>
      <c r="B47" s="319">
        <f t="shared" si="1"/>
        <v>0</v>
      </c>
      <c r="C47" s="320">
        <f>IF(Pénalités!A48&lt;&gt;"",Pénalités!A48,"")</f>
        <v>0</v>
      </c>
      <c r="D47" s="321">
        <f t="shared" si="2"/>
        <v>0</v>
      </c>
      <c r="E47" s="322">
        <f t="shared" si="3"/>
        <v>0</v>
      </c>
      <c r="F47" s="322">
        <f t="shared" si="4"/>
        <v>0</v>
      </c>
      <c r="G47" s="323">
        <f t="shared" si="5"/>
        <v>0</v>
      </c>
      <c r="H47" s="322">
        <f t="shared" si="6"/>
        <v>0</v>
      </c>
      <c r="I47" s="324">
        <f t="shared" si="7"/>
        <v>0</v>
      </c>
      <c r="J47" s="324">
        <f t="shared" si="8"/>
        <v>0</v>
      </c>
      <c r="K47" s="324">
        <f t="shared" si="9"/>
        <v>0</v>
      </c>
      <c r="L47" s="324">
        <f t="shared" si="10"/>
        <v>0</v>
      </c>
      <c r="M47" s="324">
        <f t="shared" si="11"/>
        <v>0</v>
      </c>
      <c r="N47" s="324">
        <f t="shared" si="12"/>
        <v>0</v>
      </c>
      <c r="O47" s="324">
        <f t="shared" si="13"/>
        <v>0</v>
      </c>
      <c r="P47" s="325"/>
      <c r="Q47" s="326">
        <f t="shared" si="14"/>
        <v>0</v>
      </c>
      <c r="R47" s="326">
        <f t="shared" si="15"/>
        <v>0</v>
      </c>
      <c r="S47" s="327">
        <f t="shared" si="16"/>
        <v>0</v>
      </c>
    </row>
    <row r="48" spans="1:19" s="328" customFormat="1" ht="30" customHeight="1">
      <c r="A48" s="318">
        <f t="shared" si="0"/>
        <v>0</v>
      </c>
      <c r="B48" s="319">
        <f t="shared" si="1"/>
        <v>0</v>
      </c>
      <c r="C48" s="320">
        <f>IF(Pénalités!A49&lt;&gt;"",Pénalités!A49,"")</f>
        <v>0</v>
      </c>
      <c r="D48" s="321">
        <f t="shared" si="2"/>
        <v>0</v>
      </c>
      <c r="E48" s="322">
        <f t="shared" si="3"/>
        <v>0</v>
      </c>
      <c r="F48" s="322">
        <f t="shared" si="4"/>
        <v>0</v>
      </c>
      <c r="G48" s="323">
        <f t="shared" si="5"/>
        <v>0</v>
      </c>
      <c r="H48" s="322">
        <f t="shared" si="6"/>
        <v>0</v>
      </c>
      <c r="I48" s="324">
        <f t="shared" si="7"/>
        <v>0</v>
      </c>
      <c r="J48" s="324">
        <f t="shared" si="8"/>
        <v>0</v>
      </c>
      <c r="K48" s="324">
        <f t="shared" si="9"/>
        <v>0</v>
      </c>
      <c r="L48" s="324">
        <f t="shared" si="10"/>
        <v>0</v>
      </c>
      <c r="M48" s="324">
        <f t="shared" si="11"/>
        <v>0</v>
      </c>
      <c r="N48" s="324">
        <f t="shared" si="12"/>
        <v>0</v>
      </c>
      <c r="O48" s="324">
        <f t="shared" si="13"/>
        <v>0</v>
      </c>
      <c r="P48" s="325"/>
      <c r="Q48" s="326">
        <f t="shared" si="14"/>
        <v>0</v>
      </c>
      <c r="R48" s="326">
        <f t="shared" si="15"/>
        <v>0</v>
      </c>
      <c r="S48" s="327">
        <f t="shared" si="16"/>
        <v>0</v>
      </c>
    </row>
    <row r="49" spans="1:19" s="328" customFormat="1" ht="30" customHeight="1">
      <c r="A49" s="318">
        <f t="shared" si="0"/>
        <v>0</v>
      </c>
      <c r="B49" s="319">
        <f t="shared" si="1"/>
        <v>0</v>
      </c>
      <c r="C49" s="320">
        <f>IF(Pénalités!A50&lt;&gt;"",Pénalités!A50,"")</f>
        <v>0</v>
      </c>
      <c r="D49" s="321">
        <f t="shared" si="2"/>
        <v>0</v>
      </c>
      <c r="E49" s="322">
        <f t="shared" si="3"/>
        <v>0</v>
      </c>
      <c r="F49" s="322">
        <f t="shared" si="4"/>
        <v>0</v>
      </c>
      <c r="G49" s="323">
        <f t="shared" si="5"/>
        <v>0</v>
      </c>
      <c r="H49" s="322">
        <f t="shared" si="6"/>
        <v>0</v>
      </c>
      <c r="I49" s="324">
        <f t="shared" si="7"/>
        <v>0</v>
      </c>
      <c r="J49" s="324">
        <f t="shared" si="8"/>
        <v>0</v>
      </c>
      <c r="K49" s="324">
        <f t="shared" si="9"/>
        <v>0</v>
      </c>
      <c r="L49" s="324">
        <f t="shared" si="10"/>
        <v>0</v>
      </c>
      <c r="M49" s="324">
        <f t="shared" si="11"/>
        <v>0</v>
      </c>
      <c r="N49" s="324">
        <f t="shared" si="12"/>
        <v>0</v>
      </c>
      <c r="O49" s="324">
        <f t="shared" si="13"/>
        <v>0</v>
      </c>
      <c r="P49" s="325"/>
      <c r="Q49" s="326">
        <f t="shared" si="14"/>
        <v>0</v>
      </c>
      <c r="R49" s="326">
        <f t="shared" si="15"/>
        <v>0</v>
      </c>
      <c r="S49" s="327">
        <f t="shared" si="16"/>
        <v>0</v>
      </c>
    </row>
    <row r="50" spans="1:19" s="328" customFormat="1" ht="30" customHeight="1">
      <c r="A50" s="318">
        <f t="shared" si="0"/>
        <v>0</v>
      </c>
      <c r="B50" s="319">
        <f t="shared" si="1"/>
        <v>0</v>
      </c>
      <c r="C50" s="320">
        <f>IF(Pénalités!A51&lt;&gt;"",Pénalités!A51,"")</f>
        <v>0</v>
      </c>
      <c r="D50" s="321">
        <f t="shared" si="2"/>
        <v>0</v>
      </c>
      <c r="E50" s="322">
        <f t="shared" si="3"/>
        <v>0</v>
      </c>
      <c r="F50" s="322">
        <f t="shared" si="4"/>
        <v>0</v>
      </c>
      <c r="G50" s="323">
        <f t="shared" si="5"/>
        <v>0</v>
      </c>
      <c r="H50" s="322">
        <f t="shared" si="6"/>
        <v>0</v>
      </c>
      <c r="I50" s="324">
        <f t="shared" si="7"/>
        <v>0</v>
      </c>
      <c r="J50" s="324">
        <f t="shared" si="8"/>
        <v>0</v>
      </c>
      <c r="K50" s="324">
        <f t="shared" si="9"/>
        <v>0</v>
      </c>
      <c r="L50" s="324">
        <f t="shared" si="10"/>
        <v>0</v>
      </c>
      <c r="M50" s="324">
        <f t="shared" si="11"/>
        <v>0</v>
      </c>
      <c r="N50" s="324">
        <f t="shared" si="12"/>
        <v>0</v>
      </c>
      <c r="O50" s="324">
        <f t="shared" si="13"/>
        <v>0</v>
      </c>
      <c r="P50" s="325"/>
      <c r="Q50" s="326">
        <f t="shared" si="14"/>
        <v>0</v>
      </c>
      <c r="R50" s="326">
        <f t="shared" si="15"/>
        <v>0</v>
      </c>
      <c r="S50" s="327">
        <f t="shared" si="16"/>
        <v>0</v>
      </c>
    </row>
    <row r="51" spans="1:19" s="328" customFormat="1" ht="30" customHeight="1">
      <c r="A51" s="318">
        <f t="shared" si="0"/>
        <v>0</v>
      </c>
      <c r="B51" s="319">
        <f t="shared" si="1"/>
        <v>0</v>
      </c>
      <c r="C51" s="320">
        <f>IF(Pénalités!A52&lt;&gt;"",Pénalités!A52,"")</f>
        <v>0</v>
      </c>
      <c r="D51" s="321">
        <f t="shared" si="2"/>
        <v>0</v>
      </c>
      <c r="E51" s="322">
        <f t="shared" si="3"/>
        <v>0</v>
      </c>
      <c r="F51" s="322">
        <f t="shared" si="4"/>
        <v>0</v>
      </c>
      <c r="G51" s="323">
        <f t="shared" si="5"/>
        <v>0</v>
      </c>
      <c r="H51" s="322">
        <f t="shared" si="6"/>
        <v>0</v>
      </c>
      <c r="I51" s="324">
        <f t="shared" si="7"/>
        <v>0</v>
      </c>
      <c r="J51" s="324">
        <f t="shared" si="8"/>
        <v>0</v>
      </c>
      <c r="K51" s="324">
        <f t="shared" si="9"/>
        <v>0</v>
      </c>
      <c r="L51" s="324">
        <f t="shared" si="10"/>
        <v>0</v>
      </c>
      <c r="M51" s="324">
        <f t="shared" si="11"/>
        <v>0</v>
      </c>
      <c r="N51" s="324">
        <f t="shared" si="12"/>
        <v>0</v>
      </c>
      <c r="O51" s="324">
        <f t="shared" si="13"/>
        <v>0</v>
      </c>
      <c r="P51" s="325"/>
      <c r="Q51" s="326">
        <f t="shared" si="14"/>
        <v>0</v>
      </c>
      <c r="R51" s="326">
        <f t="shared" si="15"/>
        <v>0</v>
      </c>
      <c r="S51" s="327">
        <f t="shared" si="16"/>
        <v>0</v>
      </c>
    </row>
    <row r="52" spans="1:19" s="328" customFormat="1" ht="30" customHeight="1">
      <c r="A52" s="318">
        <f t="shared" si="0"/>
        <v>0</v>
      </c>
      <c r="B52" s="319">
        <f t="shared" si="1"/>
        <v>0</v>
      </c>
      <c r="C52" s="320">
        <f>IF(Pénalités!A53&lt;&gt;"",Pénalités!A53,"")</f>
        <v>0</v>
      </c>
      <c r="D52" s="321">
        <f t="shared" si="2"/>
        <v>0</v>
      </c>
      <c r="E52" s="322">
        <f t="shared" si="3"/>
        <v>0</v>
      </c>
      <c r="F52" s="322">
        <f t="shared" si="4"/>
        <v>0</v>
      </c>
      <c r="G52" s="323">
        <f t="shared" si="5"/>
        <v>0</v>
      </c>
      <c r="H52" s="322">
        <f t="shared" si="6"/>
        <v>0</v>
      </c>
      <c r="I52" s="324">
        <f t="shared" si="7"/>
        <v>0</v>
      </c>
      <c r="J52" s="324">
        <f t="shared" si="8"/>
        <v>0</v>
      </c>
      <c r="K52" s="324">
        <f t="shared" si="9"/>
        <v>0</v>
      </c>
      <c r="L52" s="324">
        <f t="shared" si="10"/>
        <v>0</v>
      </c>
      <c r="M52" s="324">
        <f t="shared" si="11"/>
        <v>0</v>
      </c>
      <c r="N52" s="324">
        <f t="shared" si="12"/>
        <v>0</v>
      </c>
      <c r="O52" s="324">
        <f t="shared" si="13"/>
        <v>0</v>
      </c>
      <c r="P52" s="325"/>
      <c r="Q52" s="326">
        <f t="shared" si="14"/>
        <v>0</v>
      </c>
      <c r="R52" s="326">
        <f t="shared" si="15"/>
        <v>0</v>
      </c>
      <c r="S52" s="327">
        <f t="shared" si="16"/>
        <v>0</v>
      </c>
    </row>
    <row r="53" spans="1:19" s="328" customFormat="1" ht="30" customHeight="1">
      <c r="A53" s="318">
        <f t="shared" si="0"/>
        <v>0</v>
      </c>
      <c r="B53" s="319">
        <f t="shared" si="1"/>
        <v>0</v>
      </c>
      <c r="C53" s="320">
        <f>IF(Pénalités!A54&lt;&gt;"",Pénalités!A54,"")</f>
        <v>0</v>
      </c>
      <c r="D53" s="321">
        <f t="shared" si="2"/>
        <v>0</v>
      </c>
      <c r="E53" s="322">
        <f t="shared" si="3"/>
        <v>0</v>
      </c>
      <c r="F53" s="322">
        <f t="shared" si="4"/>
        <v>0</v>
      </c>
      <c r="G53" s="323">
        <f t="shared" si="5"/>
        <v>0</v>
      </c>
      <c r="H53" s="322">
        <f t="shared" si="6"/>
        <v>0</v>
      </c>
      <c r="I53" s="324">
        <f t="shared" si="7"/>
        <v>0</v>
      </c>
      <c r="J53" s="324">
        <f t="shared" si="8"/>
        <v>0</v>
      </c>
      <c r="K53" s="324">
        <f t="shared" si="9"/>
        <v>0</v>
      </c>
      <c r="L53" s="324">
        <f t="shared" si="10"/>
        <v>0</v>
      </c>
      <c r="M53" s="324">
        <f t="shared" si="11"/>
        <v>0</v>
      </c>
      <c r="N53" s="324">
        <f t="shared" si="12"/>
        <v>0</v>
      </c>
      <c r="O53" s="324">
        <f t="shared" si="13"/>
        <v>0</v>
      </c>
      <c r="P53" s="325"/>
      <c r="Q53" s="326">
        <f t="shared" si="14"/>
        <v>0</v>
      </c>
      <c r="R53" s="326">
        <f t="shared" si="15"/>
        <v>0</v>
      </c>
      <c r="S53" s="327">
        <f t="shared" si="16"/>
        <v>0</v>
      </c>
    </row>
    <row r="54" spans="1:19" s="328" customFormat="1" ht="30" customHeight="1">
      <c r="A54" s="318">
        <f t="shared" si="0"/>
        <v>0</v>
      </c>
      <c r="B54" s="319">
        <f t="shared" si="1"/>
        <v>0</v>
      </c>
      <c r="C54" s="320">
        <f>IF(Pénalités!A55&lt;&gt;"",Pénalités!A55,"")</f>
        <v>0</v>
      </c>
      <c r="D54" s="321">
        <f t="shared" si="2"/>
        <v>0</v>
      </c>
      <c r="E54" s="322">
        <f t="shared" si="3"/>
        <v>0</v>
      </c>
      <c r="F54" s="322">
        <f t="shared" si="4"/>
        <v>0</v>
      </c>
      <c r="G54" s="323">
        <f t="shared" si="5"/>
        <v>0</v>
      </c>
      <c r="H54" s="322">
        <f t="shared" si="6"/>
        <v>0</v>
      </c>
      <c r="I54" s="324">
        <f t="shared" si="7"/>
        <v>0</v>
      </c>
      <c r="J54" s="324">
        <f t="shared" si="8"/>
        <v>0</v>
      </c>
      <c r="K54" s="324">
        <f t="shared" si="9"/>
        <v>0</v>
      </c>
      <c r="L54" s="324">
        <f t="shared" si="10"/>
        <v>0</v>
      </c>
      <c r="M54" s="324">
        <f t="shared" si="11"/>
        <v>0</v>
      </c>
      <c r="N54" s="324">
        <f t="shared" si="12"/>
        <v>0</v>
      </c>
      <c r="O54" s="324">
        <f t="shared" si="13"/>
        <v>0</v>
      </c>
      <c r="P54" s="325"/>
      <c r="Q54" s="326">
        <f t="shared" si="14"/>
        <v>0</v>
      </c>
      <c r="R54" s="326">
        <f t="shared" si="15"/>
        <v>0</v>
      </c>
      <c r="S54" s="327">
        <f t="shared" si="16"/>
        <v>0</v>
      </c>
    </row>
    <row r="55" spans="1:19" s="328" customFormat="1" ht="30" customHeight="1">
      <c r="A55" s="318">
        <f t="shared" si="0"/>
        <v>0</v>
      </c>
      <c r="B55" s="319">
        <f t="shared" si="1"/>
        <v>0</v>
      </c>
      <c r="C55" s="320">
        <f>IF(Pénalités!A56&lt;&gt;"",Pénalités!A56,"")</f>
        <v>0</v>
      </c>
      <c r="D55" s="321">
        <f t="shared" si="2"/>
        <v>0</v>
      </c>
      <c r="E55" s="322">
        <f t="shared" si="3"/>
        <v>0</v>
      </c>
      <c r="F55" s="322">
        <f t="shared" si="4"/>
        <v>0</v>
      </c>
      <c r="G55" s="323">
        <f t="shared" si="5"/>
        <v>0</v>
      </c>
      <c r="H55" s="322">
        <f t="shared" si="6"/>
        <v>0</v>
      </c>
      <c r="I55" s="324">
        <f t="shared" si="7"/>
        <v>0</v>
      </c>
      <c r="J55" s="324">
        <f t="shared" si="8"/>
        <v>0</v>
      </c>
      <c r="K55" s="324">
        <f t="shared" si="9"/>
        <v>0</v>
      </c>
      <c r="L55" s="324">
        <f t="shared" si="10"/>
        <v>0</v>
      </c>
      <c r="M55" s="324">
        <f t="shared" si="11"/>
        <v>0</v>
      </c>
      <c r="N55" s="324">
        <f t="shared" si="12"/>
        <v>0</v>
      </c>
      <c r="O55" s="324">
        <f t="shared" si="13"/>
        <v>0</v>
      </c>
      <c r="P55" s="325"/>
      <c r="Q55" s="326">
        <f t="shared" si="14"/>
        <v>0</v>
      </c>
      <c r="R55" s="326">
        <f t="shared" si="15"/>
        <v>0</v>
      </c>
      <c r="S55" s="327">
        <f t="shared" si="16"/>
        <v>0</v>
      </c>
    </row>
    <row r="56" spans="1:19" s="328" customFormat="1" ht="30" customHeight="1">
      <c r="A56" s="318">
        <f t="shared" si="0"/>
        <v>0</v>
      </c>
      <c r="B56" s="319">
        <f t="shared" si="1"/>
        <v>0</v>
      </c>
      <c r="C56" s="320">
        <f>IF(Pénalités!A57&lt;&gt;"",Pénalités!A57,"")</f>
        <v>0</v>
      </c>
      <c r="D56" s="321">
        <f t="shared" si="2"/>
        <v>0</v>
      </c>
      <c r="E56" s="322">
        <f t="shared" si="3"/>
        <v>0</v>
      </c>
      <c r="F56" s="322">
        <f t="shared" si="4"/>
        <v>0</v>
      </c>
      <c r="G56" s="323">
        <f t="shared" si="5"/>
        <v>0</v>
      </c>
      <c r="H56" s="322">
        <f t="shared" si="6"/>
        <v>0</v>
      </c>
      <c r="I56" s="324">
        <f t="shared" si="7"/>
        <v>0</v>
      </c>
      <c r="J56" s="324">
        <f t="shared" si="8"/>
        <v>0</v>
      </c>
      <c r="K56" s="324">
        <f t="shared" si="9"/>
        <v>0</v>
      </c>
      <c r="L56" s="324">
        <f t="shared" si="10"/>
        <v>0</v>
      </c>
      <c r="M56" s="324">
        <f t="shared" si="11"/>
        <v>0</v>
      </c>
      <c r="N56" s="324">
        <f t="shared" si="12"/>
        <v>0</v>
      </c>
      <c r="O56" s="324">
        <f t="shared" si="13"/>
        <v>0</v>
      </c>
      <c r="P56" s="325"/>
      <c r="Q56" s="326">
        <f t="shared" si="14"/>
        <v>0</v>
      </c>
      <c r="R56" s="326">
        <f t="shared" si="15"/>
        <v>0</v>
      </c>
      <c r="S56" s="327">
        <f t="shared" si="16"/>
        <v>0</v>
      </c>
    </row>
    <row r="57" spans="1:19" s="328" customFormat="1" ht="30" customHeight="1">
      <c r="A57" s="318">
        <f t="shared" si="0"/>
        <v>0</v>
      </c>
      <c r="B57" s="319">
        <f t="shared" si="1"/>
        <v>0</v>
      </c>
      <c r="C57" s="320">
        <f>IF(Pénalités!A58&lt;&gt;"",Pénalités!A58,"")</f>
        <v>0</v>
      </c>
      <c r="D57" s="321">
        <f t="shared" si="2"/>
        <v>0</v>
      </c>
      <c r="E57" s="322">
        <f t="shared" si="3"/>
        <v>0</v>
      </c>
      <c r="F57" s="322">
        <f t="shared" si="4"/>
        <v>0</v>
      </c>
      <c r="G57" s="323">
        <f t="shared" si="5"/>
        <v>0</v>
      </c>
      <c r="H57" s="322">
        <f t="shared" si="6"/>
        <v>0</v>
      </c>
      <c r="I57" s="324">
        <f t="shared" si="7"/>
        <v>0</v>
      </c>
      <c r="J57" s="324">
        <f t="shared" si="8"/>
        <v>0</v>
      </c>
      <c r="K57" s="324">
        <f t="shared" si="9"/>
        <v>0</v>
      </c>
      <c r="L57" s="324">
        <f t="shared" si="10"/>
        <v>0</v>
      </c>
      <c r="M57" s="324">
        <f t="shared" si="11"/>
        <v>0</v>
      </c>
      <c r="N57" s="324">
        <f t="shared" si="12"/>
        <v>0</v>
      </c>
      <c r="O57" s="324">
        <f t="shared" si="13"/>
        <v>0</v>
      </c>
      <c r="P57" s="325"/>
      <c r="Q57" s="326">
        <f t="shared" si="14"/>
        <v>0</v>
      </c>
      <c r="R57" s="326">
        <f t="shared" si="15"/>
        <v>0</v>
      </c>
      <c r="S57" s="327">
        <f t="shared" si="16"/>
        <v>0</v>
      </c>
    </row>
    <row r="58" spans="1:19" s="328" customFormat="1" ht="30" customHeight="1">
      <c r="A58" s="318">
        <f t="shared" si="0"/>
        <v>0</v>
      </c>
      <c r="B58" s="319">
        <f t="shared" si="1"/>
        <v>0</v>
      </c>
      <c r="C58" s="320">
        <f>IF(Pénalités!A59&lt;&gt;"",Pénalités!A59,"")</f>
        <v>0</v>
      </c>
      <c r="D58" s="321">
        <f t="shared" si="2"/>
        <v>0</v>
      </c>
      <c r="E58" s="322">
        <f t="shared" si="3"/>
        <v>0</v>
      </c>
      <c r="F58" s="322">
        <f t="shared" si="4"/>
        <v>0</v>
      </c>
      <c r="G58" s="323">
        <f t="shared" si="5"/>
        <v>0</v>
      </c>
      <c r="H58" s="322">
        <f t="shared" si="6"/>
        <v>0</v>
      </c>
      <c r="I58" s="324">
        <f t="shared" si="7"/>
        <v>0</v>
      </c>
      <c r="J58" s="324">
        <f t="shared" si="8"/>
        <v>0</v>
      </c>
      <c r="K58" s="324">
        <f t="shared" si="9"/>
        <v>0</v>
      </c>
      <c r="L58" s="324">
        <f t="shared" si="10"/>
        <v>0</v>
      </c>
      <c r="M58" s="324">
        <f t="shared" si="11"/>
        <v>0</v>
      </c>
      <c r="N58" s="324">
        <f t="shared" si="12"/>
        <v>0</v>
      </c>
      <c r="O58" s="324">
        <f t="shared" si="13"/>
        <v>0</v>
      </c>
      <c r="P58" s="325"/>
      <c r="Q58" s="326">
        <f t="shared" si="14"/>
        <v>0</v>
      </c>
      <c r="R58" s="326">
        <f t="shared" si="15"/>
        <v>0</v>
      </c>
      <c r="S58" s="327">
        <f t="shared" si="16"/>
        <v>0</v>
      </c>
    </row>
    <row r="59" spans="1:19" s="328" customFormat="1" ht="30" customHeight="1">
      <c r="A59" s="318">
        <f t="shared" si="0"/>
        <v>0</v>
      </c>
      <c r="B59" s="319">
        <f t="shared" si="1"/>
        <v>0</v>
      </c>
      <c r="C59" s="320">
        <f>IF(Pénalités!A60&lt;&gt;"",Pénalités!A60,"")</f>
        <v>0</v>
      </c>
      <c r="D59" s="321">
        <f t="shared" si="2"/>
        <v>0</v>
      </c>
      <c r="E59" s="322">
        <f t="shared" si="3"/>
        <v>0</v>
      </c>
      <c r="F59" s="322">
        <f t="shared" si="4"/>
        <v>0</v>
      </c>
      <c r="G59" s="323">
        <f t="shared" si="5"/>
        <v>0</v>
      </c>
      <c r="H59" s="322">
        <f t="shared" si="6"/>
        <v>0</v>
      </c>
      <c r="I59" s="324">
        <f t="shared" si="7"/>
        <v>0</v>
      </c>
      <c r="J59" s="324">
        <f t="shared" si="8"/>
        <v>0</v>
      </c>
      <c r="K59" s="324">
        <f t="shared" si="9"/>
        <v>0</v>
      </c>
      <c r="L59" s="324">
        <f t="shared" si="10"/>
        <v>0</v>
      </c>
      <c r="M59" s="324">
        <f t="shared" si="11"/>
        <v>0</v>
      </c>
      <c r="N59" s="324">
        <f t="shared" si="12"/>
        <v>0</v>
      </c>
      <c r="O59" s="324">
        <f t="shared" si="13"/>
        <v>0</v>
      </c>
      <c r="P59" s="325"/>
      <c r="Q59" s="326">
        <f t="shared" si="14"/>
        <v>0</v>
      </c>
      <c r="R59" s="326">
        <f t="shared" si="15"/>
        <v>0</v>
      </c>
      <c r="S59" s="327">
        <f t="shared" si="16"/>
        <v>0</v>
      </c>
    </row>
    <row r="60" spans="1:19" s="328" customFormat="1" ht="30" customHeight="1">
      <c r="A60" s="318">
        <f t="shared" si="0"/>
        <v>0</v>
      </c>
      <c r="B60" s="319">
        <f t="shared" si="1"/>
        <v>0</v>
      </c>
      <c r="C60" s="320">
        <f>IF(Pénalités!A61&lt;&gt;"",Pénalités!A61,"")</f>
        <v>0</v>
      </c>
      <c r="D60" s="321">
        <f t="shared" si="2"/>
        <v>0</v>
      </c>
      <c r="E60" s="322">
        <f t="shared" si="3"/>
        <v>0</v>
      </c>
      <c r="F60" s="322">
        <f t="shared" si="4"/>
        <v>0</v>
      </c>
      <c r="G60" s="323">
        <f t="shared" si="5"/>
        <v>0</v>
      </c>
      <c r="H60" s="322">
        <f t="shared" si="6"/>
        <v>0</v>
      </c>
      <c r="I60" s="324">
        <f t="shared" si="7"/>
        <v>0</v>
      </c>
      <c r="J60" s="324">
        <f t="shared" si="8"/>
        <v>0</v>
      </c>
      <c r="K60" s="324">
        <f t="shared" si="9"/>
        <v>0</v>
      </c>
      <c r="L60" s="324">
        <f t="shared" si="10"/>
        <v>0</v>
      </c>
      <c r="M60" s="324">
        <f t="shared" si="11"/>
        <v>0</v>
      </c>
      <c r="N60" s="324">
        <f t="shared" si="12"/>
        <v>0</v>
      </c>
      <c r="O60" s="324">
        <f t="shared" si="13"/>
        <v>0</v>
      </c>
      <c r="P60" s="325"/>
      <c r="Q60" s="326">
        <f t="shared" si="14"/>
        <v>0</v>
      </c>
      <c r="R60" s="326">
        <f t="shared" si="15"/>
        <v>0</v>
      </c>
      <c r="S60" s="327">
        <f t="shared" si="16"/>
        <v>0</v>
      </c>
    </row>
    <row r="61" spans="1:19" s="328" customFormat="1" ht="30" customHeight="1">
      <c r="A61" s="318">
        <f t="shared" si="0"/>
        <v>0</v>
      </c>
      <c r="B61" s="319">
        <f t="shared" si="1"/>
        <v>0</v>
      </c>
      <c r="C61" s="320">
        <f>IF(Pénalités!A62&lt;&gt;"",Pénalités!A62,"")</f>
        <v>0</v>
      </c>
      <c r="D61" s="321">
        <f t="shared" si="2"/>
        <v>0</v>
      </c>
      <c r="E61" s="322">
        <f t="shared" si="3"/>
        <v>0</v>
      </c>
      <c r="F61" s="322">
        <f t="shared" si="4"/>
        <v>0</v>
      </c>
      <c r="G61" s="323">
        <f t="shared" si="5"/>
        <v>0</v>
      </c>
      <c r="H61" s="322">
        <f t="shared" si="6"/>
        <v>0</v>
      </c>
      <c r="I61" s="324">
        <f t="shared" si="7"/>
        <v>0</v>
      </c>
      <c r="J61" s="324">
        <f t="shared" si="8"/>
        <v>0</v>
      </c>
      <c r="K61" s="324">
        <f t="shared" si="9"/>
        <v>0</v>
      </c>
      <c r="L61" s="324">
        <f t="shared" si="10"/>
        <v>0</v>
      </c>
      <c r="M61" s="324">
        <f t="shared" si="11"/>
        <v>0</v>
      </c>
      <c r="N61" s="324">
        <f t="shared" si="12"/>
        <v>0</v>
      </c>
      <c r="O61" s="324">
        <f t="shared" si="13"/>
        <v>0</v>
      </c>
      <c r="P61" s="325"/>
      <c r="Q61" s="326">
        <f t="shared" si="14"/>
        <v>0</v>
      </c>
      <c r="R61" s="326">
        <f t="shared" si="15"/>
        <v>0</v>
      </c>
      <c r="S61" s="327">
        <f t="shared" si="16"/>
        <v>0</v>
      </c>
    </row>
    <row r="62" spans="1:19" s="328" customFormat="1" ht="30" customHeight="1">
      <c r="A62" s="318">
        <f t="shared" si="0"/>
        <v>0</v>
      </c>
      <c r="B62" s="319">
        <f t="shared" si="1"/>
        <v>0</v>
      </c>
      <c r="C62" s="320">
        <f>IF(Pénalités!A63&lt;&gt;"",Pénalités!A63,"")</f>
        <v>0</v>
      </c>
      <c r="D62" s="321">
        <f t="shared" si="2"/>
        <v>0</v>
      </c>
      <c r="E62" s="322">
        <f t="shared" si="3"/>
        <v>0</v>
      </c>
      <c r="F62" s="322">
        <f t="shared" si="4"/>
        <v>0</v>
      </c>
      <c r="G62" s="323">
        <f t="shared" si="5"/>
        <v>0</v>
      </c>
      <c r="H62" s="322">
        <f t="shared" si="6"/>
        <v>0</v>
      </c>
      <c r="I62" s="324">
        <f t="shared" si="7"/>
        <v>0</v>
      </c>
      <c r="J62" s="324">
        <f t="shared" si="8"/>
        <v>0</v>
      </c>
      <c r="K62" s="324">
        <f t="shared" si="9"/>
        <v>0</v>
      </c>
      <c r="L62" s="324">
        <f t="shared" si="10"/>
        <v>0</v>
      </c>
      <c r="M62" s="324">
        <f t="shared" si="11"/>
        <v>0</v>
      </c>
      <c r="N62" s="324">
        <f t="shared" si="12"/>
        <v>0</v>
      </c>
      <c r="O62" s="324">
        <f t="shared" si="13"/>
        <v>0</v>
      </c>
      <c r="P62" s="325"/>
      <c r="Q62" s="326">
        <f t="shared" si="14"/>
        <v>0</v>
      </c>
      <c r="R62" s="326">
        <f t="shared" si="15"/>
        <v>0</v>
      </c>
      <c r="S62" s="327">
        <f t="shared" si="16"/>
        <v>0</v>
      </c>
    </row>
    <row r="63" spans="1:19" s="328" customFormat="1" ht="30" customHeight="1">
      <c r="A63" s="318">
        <f t="shared" si="0"/>
        <v>0</v>
      </c>
      <c r="B63" s="319">
        <f t="shared" si="1"/>
        <v>0</v>
      </c>
      <c r="C63" s="320">
        <f>IF(Pénalités!A64&lt;&gt;"",Pénalités!A64,"")</f>
        <v>0</v>
      </c>
      <c r="D63" s="321">
        <f t="shared" si="2"/>
        <v>0</v>
      </c>
      <c r="E63" s="322">
        <f t="shared" si="3"/>
        <v>0</v>
      </c>
      <c r="F63" s="322">
        <f t="shared" si="4"/>
        <v>0</v>
      </c>
      <c r="G63" s="323">
        <f t="shared" si="5"/>
        <v>0</v>
      </c>
      <c r="H63" s="322">
        <f t="shared" si="6"/>
        <v>0</v>
      </c>
      <c r="I63" s="324">
        <f t="shared" si="7"/>
        <v>0</v>
      </c>
      <c r="J63" s="324">
        <f t="shared" si="8"/>
        <v>0</v>
      </c>
      <c r="K63" s="324">
        <f t="shared" si="9"/>
        <v>0</v>
      </c>
      <c r="L63" s="324">
        <f t="shared" si="10"/>
        <v>0</v>
      </c>
      <c r="M63" s="324">
        <f t="shared" si="11"/>
        <v>0</v>
      </c>
      <c r="N63" s="324">
        <f t="shared" si="12"/>
        <v>0</v>
      </c>
      <c r="O63" s="324">
        <f t="shared" si="13"/>
        <v>0</v>
      </c>
      <c r="P63" s="325"/>
      <c r="Q63" s="326">
        <f t="shared" si="14"/>
        <v>0</v>
      </c>
      <c r="R63" s="326">
        <f t="shared" si="15"/>
        <v>0</v>
      </c>
      <c r="S63" s="327">
        <f t="shared" si="16"/>
        <v>0</v>
      </c>
    </row>
  </sheetData>
  <sheetProtection password="88A3" sheet="1" objects="1" scenarios="1"/>
  <mergeCells count="2">
    <mergeCell ref="G2:H2"/>
    <mergeCell ref="I2:K2"/>
  </mergeCells>
  <conditionalFormatting sqref="B4:D63">
    <cfRule type="expression" priority="1" dxfId="18" stopIfTrue="1">
      <formula>(ISNUMBER($B4)*COUNTIF($B:$B,$B4)&gt;1)</formula>
    </cfRule>
  </conditionalFormatting>
  <conditionalFormatting sqref="G2:H2">
    <cfRule type="cellIs" priority="2" dxfId="19" operator="equal" stopIfTrue="1">
      <formula>"provisoire"</formula>
    </cfRule>
  </conditionalFormatting>
  <conditionalFormatting sqref="P4:P63">
    <cfRule type="expression" priority="3" dxfId="12" stopIfTrue="1">
      <formula>($C$2="Championnat")*($C4&lt;&gt;"")*(COUNTIF($B:$B,$B4)&gt;1)</formula>
    </cfRule>
  </conditionalFormatting>
  <conditionalFormatting sqref="C4:P63">
    <cfRule type="expression" priority="4" dxfId="13" stopIfTrue="1">
      <formula>MOD(ROW(C4),2)=0</formula>
    </cfRule>
  </conditionalFormatting>
  <conditionalFormatting sqref="I4:P63">
    <cfRule type="cellIs" priority="5" dxfId="0" operator="equal" stopIfTrue="1">
      <formula>999</formula>
    </cfRule>
  </conditionalFormatting>
  <conditionalFormatting sqref="I4:O63">
    <cfRule type="expression" priority="6" dxfId="20" stopIfTrue="1">
      <formula>($C$2="Découverte")*(I4=MIN(I$1:I$65536))</formula>
    </cfRule>
    <cfRule type="expression" priority="7" dxfId="18" stopIfTrue="1">
      <formula>(ISNUMBER($B4)*COUNTIF($B:$B,$B4)&gt;1)</formula>
    </cfRule>
  </conditionalFormatting>
  <dataValidations count="1">
    <dataValidation errorStyle="warning" allowBlank="1" showErrorMessage="1" error="format incorrect ou valeur hors limites (bornes en colonne D et E)" sqref="I2 M2">
      <formula1>0</formula1>
      <formula2>0</formula2>
    </dataValidation>
  </dataValidations>
  <printOptions horizontalCentered="1"/>
  <pageMargins left="0.39375" right="0.39375" top="0.39375" bottom="0.19652777777777777" header="0.39375" footer="0.5118055555555555"/>
  <pageSetup firstPageNumber="1" useFirstPageNumber="1" fitToHeight="0" fitToWidth="1" horizontalDpi="300" verticalDpi="300" orientation="portrait" paperSize="9"/>
  <headerFooter alignWithMargins="0">
    <oddHeader>&amp;R&amp;12&amp;A (&amp;P)</oddHeader>
  </headerFooter>
  <rowBreaks count="1" manualBreakCount="1">
    <brk id="33" max="255" man="1"/>
  </row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W64"/>
  <sheetViews>
    <sheetView tabSelected="1" zoomScale="90" zoomScaleNormal="90" zoomScaleSheetLayoutView="100" workbookViewId="0" topLeftCell="A1">
      <pane xSplit="3" ySplit="3" topLeftCell="D4" activePane="bottomRight" state="frozen"/>
      <selection pane="topLeft" activeCell="A1" sqref="A1"/>
      <selection pane="topRight" activeCell="D1" sqref="D1"/>
      <selection pane="bottomLeft" activeCell="A4" sqref="A4"/>
      <selection pane="bottomRight" activeCell="D17" sqref="D17"/>
    </sheetView>
  </sheetViews>
  <sheetFormatPr defaultColWidth="9.140625" defaultRowHeight="15"/>
  <cols>
    <col min="1" max="1" width="11.421875" style="329" customWidth="1"/>
    <col min="2" max="2" width="12.28125" style="330" customWidth="1"/>
    <col min="3" max="3" width="11.00390625" style="289" customWidth="1"/>
    <col min="4" max="4" width="33.421875" style="331" customWidth="1"/>
    <col min="5" max="5" width="39.7109375" style="332" customWidth="1"/>
    <col min="6" max="6" width="25.8515625" style="332" hidden="1" customWidth="1"/>
    <col min="7" max="7" width="3.8515625" style="332" hidden="1" customWidth="1"/>
    <col min="8" max="10" width="20.7109375" style="332" hidden="1" customWidth="1"/>
    <col min="11" max="11" width="9.7109375" style="333" hidden="1" customWidth="1"/>
    <col min="12" max="13" width="7.140625" style="333" customWidth="1"/>
    <col min="14" max="14" width="10.28125" style="300" customWidth="1"/>
    <col min="15" max="16" width="9.7109375" style="334" customWidth="1"/>
    <col min="17" max="18" width="14.140625" style="335" customWidth="1"/>
    <col min="19" max="19" width="10.57421875" style="335" hidden="1" customWidth="1"/>
    <col min="20" max="20" width="12.140625" style="288" customWidth="1"/>
    <col min="21" max="22" width="13.140625" style="293" customWidth="1"/>
    <col min="23" max="23" width="19.7109375" style="336" customWidth="1"/>
    <col min="24" max="16384" width="11.421875" style="329" customWidth="1"/>
  </cols>
  <sheetData>
    <row r="1" spans="2:17" s="173" customFormat="1" ht="24.75" customHeight="1">
      <c r="B1" s="337" t="s">
        <v>226</v>
      </c>
      <c r="C1" s="172"/>
      <c r="D1" s="172">
        <f>Parcours!$B$1</f>
        <v>0</v>
      </c>
      <c r="E1" s="172"/>
      <c r="F1" s="171"/>
      <c r="G1" s="172"/>
      <c r="H1" s="172"/>
      <c r="I1" s="171"/>
      <c r="J1" s="172"/>
      <c r="K1" s="172"/>
      <c r="L1" s="172"/>
      <c r="M1" s="172"/>
      <c r="O1" s="172"/>
      <c r="Q1" s="172"/>
    </row>
    <row r="2" spans="2:17" s="176" customFormat="1" ht="24.75" customHeight="1">
      <c r="B2" s="337">
        <f>Niveau</f>
        <v>0</v>
      </c>
      <c r="C2" s="122"/>
      <c r="D2" s="42">
        <f>Parcours!$B$2</f>
        <v>0</v>
      </c>
      <c r="E2" s="121"/>
      <c r="F2" s="124"/>
      <c r="G2" s="42"/>
      <c r="H2" s="42"/>
      <c r="I2" s="175"/>
      <c r="J2" s="42"/>
      <c r="K2" s="42"/>
      <c r="L2" s="42"/>
      <c r="M2" s="42"/>
      <c r="O2" s="42"/>
      <c r="Q2" s="42"/>
    </row>
    <row r="3" spans="1:23" s="239" customFormat="1" ht="60">
      <c r="A3" s="338" t="s">
        <v>253</v>
      </c>
      <c r="B3" s="339" t="s">
        <v>254</v>
      </c>
      <c r="C3" s="340" t="s">
        <v>227</v>
      </c>
      <c r="D3" s="341" t="s">
        <v>255</v>
      </c>
      <c r="E3" s="342" t="s">
        <v>85</v>
      </c>
      <c r="F3" s="343" t="s">
        <v>87</v>
      </c>
      <c r="G3" s="344" t="s">
        <v>267</v>
      </c>
      <c r="H3" s="343" t="s">
        <v>268</v>
      </c>
      <c r="I3" s="343" t="s">
        <v>269</v>
      </c>
      <c r="J3" s="343" t="s">
        <v>270</v>
      </c>
      <c r="K3" s="345" t="s">
        <v>271</v>
      </c>
      <c r="L3" s="345" t="s">
        <v>233</v>
      </c>
      <c r="M3" s="345" t="s">
        <v>238</v>
      </c>
      <c r="N3" s="346" t="s">
        <v>256</v>
      </c>
      <c r="O3" s="345" t="s">
        <v>258</v>
      </c>
      <c r="P3" s="345" t="s">
        <v>260</v>
      </c>
      <c r="Q3" s="345" t="s">
        <v>262</v>
      </c>
      <c r="R3" s="345" t="s">
        <v>272</v>
      </c>
      <c r="S3" s="345" t="s">
        <v>273</v>
      </c>
      <c r="T3" s="347" t="s">
        <v>84</v>
      </c>
      <c r="U3" s="348" t="s">
        <v>274</v>
      </c>
      <c r="V3" s="349" t="s">
        <v>275</v>
      </c>
      <c r="W3" s="350" t="s">
        <v>276</v>
      </c>
    </row>
    <row r="4" spans="1:23" s="278" customFormat="1" ht="19.5" customHeight="1">
      <c r="A4" s="351">
        <f>IF(ROW()-3&lt;=MAX(Résultats!$A:$A),ROW()-3,"")</f>
        <v>1</v>
      </c>
      <c r="B4" s="352">
        <f aca="true" t="shared" si="0" ref="B4:B63">IF($A4&lt;&gt;"",VLOOKUP($A4,Résultats,2,FALSE),"")</f>
        <v>1</v>
      </c>
      <c r="C4" s="353">
        <f aca="true" t="shared" si="1" ref="C4:C63">IF(B4&lt;&gt;"",VLOOKUP($A4,Résultats,3,FALSE),"")</f>
        <v>14</v>
      </c>
      <c r="D4" s="354">
        <f aca="true" t="shared" si="2" ref="D4:D63">IF(ISNUMBER($C4),VLOOKUP($C4,Départs,COLUMN(équipe),FALSE),"")</f>
        <v>0</v>
      </c>
      <c r="E4" s="355">
        <f aca="true" t="shared" si="3" ref="E4:E63">IF($D4&lt;&gt;"",VLOOKUP($D4,Inscriptions,COLUMN(Club),FALSE),"")</f>
        <v>0</v>
      </c>
      <c r="F4" s="354">
        <f aca="true" t="shared" si="4" ref="F4:F63">IF($C4="","",VLOOKUP($D4,Inscriptions,COLUMN(Capitaine),FALSE))</f>
        <v>0</v>
      </c>
      <c r="G4" s="354">
        <f aca="true" t="shared" si="5" ref="G4:G63">IF($C4="","",VLOOKUP($D4,Inscriptions,COLUMN(Effectif),FALSE))</f>
        <v>4</v>
      </c>
      <c r="H4" s="354">
        <f aca="true" t="shared" si="6" ref="H4:H63">IF($D4="","",VLOOKUP($D4,Inscriptions,COLUMN(équipier_1),FALSE))</f>
        <v>0</v>
      </c>
      <c r="I4" s="354">
        <f aca="true" t="shared" si="7" ref="I4:I63">IF($D4="","",VLOOKUP($D4,Inscriptions,COLUMN(équipier_2),FALSE))</f>
        <v>0</v>
      </c>
      <c r="J4" s="354">
        <f aca="true" t="shared" si="8" ref="J4:J63">IF($D4="","",IF($G4&lt;4,"",VLOOKUP($D4,Inscriptions,COLUMN(équipier_3),FALSE)))</f>
        <v>0</v>
      </c>
      <c r="K4" s="356">
        <f aca="true" t="shared" si="9" ref="K4:K63">IF(ISNUMBER(C4),Temps_référence,"")</f>
        <v>0.21041666666666667</v>
      </c>
      <c r="L4" s="356">
        <f aca="true" t="shared" si="10" ref="L4:L63">IF(ISNUMBER($C4),VLOOKUP($C4,émargement,COLUMN(Temps_cible),FALSE),"")</f>
        <v>0.20902777777777778</v>
      </c>
      <c r="M4" s="356">
        <f aca="true" t="shared" si="11" ref="M4:M63">IF(ISNUMBER($C4),VLOOKUP($C4,Pénalités,COLUMN(Temps_réel),FALSE),"")</f>
        <v>0.20902777777777778</v>
      </c>
      <c r="N4" s="357">
        <f aca="true" t="shared" si="12" ref="N4:N63">IF(ISNUMBER($C4),VLOOKUP($C4,Pénalités,COLUMN(Total_pénalités),FALSE),"")</f>
        <v>12</v>
      </c>
      <c r="O4" s="358">
        <f aca="true" t="shared" si="13" ref="O4:O63">IF(ISNUMBER($C4),VLOOKUP($C4,Pénalités,COLUMN(Pénalités_bornes),FALSE),"")</f>
        <v>0</v>
      </c>
      <c r="P4" s="358">
        <f aca="true" t="shared" si="14" ref="P4:P63">IF(ISNUMBER($C4),VLOOKUP($C4,Pénalités,COLUMN(Pénalités_temps),FALSE),"")</f>
        <v>2</v>
      </c>
      <c r="Q4" s="358">
        <f aca="true" t="shared" si="15" ref="Q4:Q63">IF(ISNUMBER($C4),VLOOKUP($C4,Pénalités,COLUMN(Pénalités_ACM),FALSE),"")</f>
        <v>10</v>
      </c>
      <c r="R4" s="353">
        <f aca="true" t="shared" si="16" ref="R4:R63">IF(S4&lt;&gt;"",VLOOKUP($A4,Résultats,COLUMN(Subsidiaire),FALSE),"")</f>
        <v>0</v>
      </c>
      <c r="S4" s="359">
        <f aca="true" t="shared" si="17" ref="S4:S63">IF($D4&lt;&gt;"",VLOOKUP($D4,Inscriptions,COLUMN(éligibilité_CFC),FALSE),"")</f>
        <v>0</v>
      </c>
      <c r="T4" s="360">
        <f aca="true" t="shared" si="18" ref="T4:T63">IF($S4&lt;&gt;"oui","",VLOOKUP($D4,Inscriptions,COLUMN(Numéro_club),FALSE))</f>
        <v>0</v>
      </c>
      <c r="U4" s="361">
        <f aca="true" t="shared" si="19" ref="U4:U63">IF($S4&lt;&gt;"OUI","",IF(Niveau&lt;&gt;"Championnat","",VLOOKUP($B4,Barème,équipes_partantes+4,FALSE)))</f>
        <v>0</v>
      </c>
      <c r="V4" s="362">
        <f aca="true" t="shared" si="20" ref="V4:V63">IF($S4&lt;&gt;"oui","",IF(U4=VLOOKUP(T4,T$1:U$65536,2,FALSE),U4,MIN(U4,$V$64)))</f>
        <v>0</v>
      </c>
      <c r="W4" s="363">
        <f>IF($S4&lt;&gt;"oui","",VLOOKUP($D4,Inscriptions,COLUMN(Identifiant_equipe),FALSE))</f>
        <v>0</v>
      </c>
    </row>
    <row r="5" spans="1:23" s="278" customFormat="1" ht="19.5" customHeight="1">
      <c r="A5" s="351">
        <f>IF(ROW()-3&lt;=MAX(Résultats!$A:$A),ROW()-3,"")</f>
        <v>2</v>
      </c>
      <c r="B5" s="352">
        <f t="shared" si="0"/>
        <v>2</v>
      </c>
      <c r="C5" s="353">
        <f t="shared" si="1"/>
        <v>3</v>
      </c>
      <c r="D5" s="354">
        <f t="shared" si="2"/>
        <v>0</v>
      </c>
      <c r="E5" s="355">
        <f t="shared" si="3"/>
        <v>0</v>
      </c>
      <c r="F5" s="354">
        <f t="shared" si="4"/>
        <v>0</v>
      </c>
      <c r="G5" s="354">
        <f t="shared" si="5"/>
        <v>4</v>
      </c>
      <c r="H5" s="354">
        <f t="shared" si="6"/>
        <v>0</v>
      </c>
      <c r="I5" s="354">
        <f t="shared" si="7"/>
        <v>0</v>
      </c>
      <c r="J5" s="354">
        <f t="shared" si="8"/>
        <v>0</v>
      </c>
      <c r="K5" s="356">
        <f t="shared" si="9"/>
        <v>0.21041666666666667</v>
      </c>
      <c r="L5" s="356">
        <f t="shared" si="10"/>
        <v>0.20972222222222223</v>
      </c>
      <c r="M5" s="356">
        <f t="shared" si="11"/>
        <v>0.20972222222222223</v>
      </c>
      <c r="N5" s="357">
        <f t="shared" si="12"/>
        <v>21</v>
      </c>
      <c r="O5" s="358">
        <f t="shared" si="13"/>
        <v>0</v>
      </c>
      <c r="P5" s="358">
        <f t="shared" si="14"/>
        <v>1</v>
      </c>
      <c r="Q5" s="358">
        <f t="shared" si="15"/>
        <v>20</v>
      </c>
      <c r="R5" s="353">
        <f t="shared" si="16"/>
        <v>0</v>
      </c>
      <c r="S5" s="359">
        <f t="shared" si="17"/>
        <v>0</v>
      </c>
      <c r="T5" s="360">
        <f t="shared" si="18"/>
        <v>0</v>
      </c>
      <c r="U5" s="361">
        <f t="shared" si="19"/>
        <v>0</v>
      </c>
      <c r="V5" s="362">
        <f t="shared" si="20"/>
        <v>0</v>
      </c>
      <c r="W5" s="363">
        <f aca="true" t="shared" si="21" ref="W5:W63">IF($U5="","",VLOOKUP($D5,Inscriptions,COLUMN(Identifiant_equipe),FALSE))</f>
        <v>0</v>
      </c>
    </row>
    <row r="6" spans="1:23" s="278" customFormat="1" ht="19.5" customHeight="1">
      <c r="A6" s="351">
        <f>IF(ROW()-3&lt;=MAX(Résultats!$A:$A),ROW()-3,"")</f>
        <v>3</v>
      </c>
      <c r="B6" s="352">
        <f t="shared" si="0"/>
        <v>3</v>
      </c>
      <c r="C6" s="353">
        <f t="shared" si="1"/>
        <v>7</v>
      </c>
      <c r="D6" s="354">
        <f t="shared" si="2"/>
        <v>0</v>
      </c>
      <c r="E6" s="355">
        <f t="shared" si="3"/>
        <v>0</v>
      </c>
      <c r="F6" s="354">
        <f t="shared" si="4"/>
        <v>0</v>
      </c>
      <c r="G6" s="354">
        <f t="shared" si="5"/>
        <v>4</v>
      </c>
      <c r="H6" s="354">
        <f t="shared" si="6"/>
        <v>0</v>
      </c>
      <c r="I6" s="354">
        <f t="shared" si="7"/>
        <v>0</v>
      </c>
      <c r="J6" s="354">
        <f t="shared" si="8"/>
        <v>0</v>
      </c>
      <c r="K6" s="356">
        <f t="shared" si="9"/>
        <v>0.21041666666666667</v>
      </c>
      <c r="L6" s="356">
        <f t="shared" si="10"/>
        <v>0.20902777777777778</v>
      </c>
      <c r="M6" s="356">
        <f t="shared" si="11"/>
        <v>0.20902777777777778</v>
      </c>
      <c r="N6" s="357">
        <f t="shared" si="12"/>
        <v>22</v>
      </c>
      <c r="O6" s="358">
        <f t="shared" si="13"/>
        <v>0</v>
      </c>
      <c r="P6" s="358">
        <f t="shared" si="14"/>
        <v>2</v>
      </c>
      <c r="Q6" s="358">
        <f t="shared" si="15"/>
        <v>20</v>
      </c>
      <c r="R6" s="353">
        <f t="shared" si="16"/>
        <v>0</v>
      </c>
      <c r="S6" s="359">
        <f t="shared" si="17"/>
        <v>0</v>
      </c>
      <c r="T6" s="360">
        <f t="shared" si="18"/>
        <v>0</v>
      </c>
      <c r="U6" s="361">
        <f t="shared" si="19"/>
        <v>0</v>
      </c>
      <c r="V6" s="362">
        <f t="shared" si="20"/>
        <v>0</v>
      </c>
      <c r="W6" s="363">
        <f t="shared" si="21"/>
        <v>0</v>
      </c>
    </row>
    <row r="7" spans="1:23" s="278" customFormat="1" ht="19.5" customHeight="1">
      <c r="A7" s="351">
        <f>IF(ROW()-3&lt;=MAX(Résultats!$A:$A),ROW()-3,"")</f>
        <v>4</v>
      </c>
      <c r="B7" s="352">
        <f t="shared" si="0"/>
        <v>4</v>
      </c>
      <c r="C7" s="353">
        <f t="shared" si="1"/>
        <v>4</v>
      </c>
      <c r="D7" s="354">
        <f t="shared" si="2"/>
        <v>0</v>
      </c>
      <c r="E7" s="355">
        <f t="shared" si="3"/>
        <v>0</v>
      </c>
      <c r="F7" s="354">
        <f t="shared" si="4"/>
        <v>0</v>
      </c>
      <c r="G7" s="354">
        <f t="shared" si="5"/>
        <v>4</v>
      </c>
      <c r="H7" s="354">
        <f t="shared" si="6"/>
        <v>0</v>
      </c>
      <c r="I7" s="354">
        <f t="shared" si="7"/>
        <v>0</v>
      </c>
      <c r="J7" s="354">
        <f t="shared" si="8"/>
        <v>0</v>
      </c>
      <c r="K7" s="356">
        <f t="shared" si="9"/>
        <v>0.21041666666666667</v>
      </c>
      <c r="L7" s="356">
        <f t="shared" si="10"/>
        <v>0.21319444444444444</v>
      </c>
      <c r="M7" s="356">
        <f t="shared" si="11"/>
        <v>0.21319444444444444</v>
      </c>
      <c r="N7" s="357">
        <f t="shared" si="12"/>
        <v>24</v>
      </c>
      <c r="O7" s="358">
        <f t="shared" si="13"/>
        <v>0</v>
      </c>
      <c r="P7" s="358">
        <f t="shared" si="14"/>
        <v>4</v>
      </c>
      <c r="Q7" s="358">
        <f t="shared" si="15"/>
        <v>20</v>
      </c>
      <c r="R7" s="353">
        <f t="shared" si="16"/>
        <v>0</v>
      </c>
      <c r="S7" s="359">
        <f t="shared" si="17"/>
        <v>0</v>
      </c>
      <c r="T7" s="360">
        <f t="shared" si="18"/>
        <v>0</v>
      </c>
      <c r="U7" s="361">
        <f t="shared" si="19"/>
        <v>0</v>
      </c>
      <c r="V7" s="362">
        <f t="shared" si="20"/>
        <v>0</v>
      </c>
      <c r="W7" s="363">
        <f t="shared" si="21"/>
        <v>0</v>
      </c>
    </row>
    <row r="8" spans="1:23" s="278" customFormat="1" ht="19.5" customHeight="1">
      <c r="A8" s="351">
        <f>IF(ROW()-3&lt;=MAX(Résultats!$A:$A),ROW()-3,"")</f>
        <v>5</v>
      </c>
      <c r="B8" s="352">
        <f t="shared" si="0"/>
        <v>5</v>
      </c>
      <c r="C8" s="353">
        <f t="shared" si="1"/>
        <v>13</v>
      </c>
      <c r="D8" s="354">
        <f t="shared" si="2"/>
        <v>0</v>
      </c>
      <c r="E8" s="355">
        <f t="shared" si="3"/>
        <v>0</v>
      </c>
      <c r="F8" s="354">
        <f t="shared" si="4"/>
        <v>0</v>
      </c>
      <c r="G8" s="354">
        <f t="shared" si="5"/>
        <v>4</v>
      </c>
      <c r="H8" s="354">
        <f t="shared" si="6"/>
        <v>0</v>
      </c>
      <c r="I8" s="354">
        <f t="shared" si="7"/>
        <v>0</v>
      </c>
      <c r="J8" s="354">
        <f t="shared" si="8"/>
        <v>0</v>
      </c>
      <c r="K8" s="356">
        <f t="shared" si="9"/>
        <v>0.21041666666666667</v>
      </c>
      <c r="L8" s="356">
        <f t="shared" si="10"/>
        <v>0.2152777777777778</v>
      </c>
      <c r="M8" s="356">
        <f t="shared" si="11"/>
        <v>0.2152777777777778</v>
      </c>
      <c r="N8" s="357">
        <f t="shared" si="12"/>
        <v>27</v>
      </c>
      <c r="O8" s="358">
        <f t="shared" si="13"/>
        <v>0</v>
      </c>
      <c r="P8" s="358">
        <f t="shared" si="14"/>
        <v>7</v>
      </c>
      <c r="Q8" s="358">
        <f t="shared" si="15"/>
        <v>20</v>
      </c>
      <c r="R8" s="353">
        <f t="shared" si="16"/>
        <v>0</v>
      </c>
      <c r="S8" s="359">
        <f t="shared" si="17"/>
        <v>0</v>
      </c>
      <c r="T8" s="360">
        <f t="shared" si="18"/>
        <v>0</v>
      </c>
      <c r="U8" s="361">
        <f t="shared" si="19"/>
        <v>0</v>
      </c>
      <c r="V8" s="362">
        <f t="shared" si="20"/>
        <v>0</v>
      </c>
      <c r="W8" s="363">
        <f t="shared" si="21"/>
        <v>0</v>
      </c>
    </row>
    <row r="9" spans="1:23" s="278" customFormat="1" ht="19.5" customHeight="1">
      <c r="A9" s="351">
        <f>IF(ROW()-3&lt;=MAX(Résultats!$A:$A),ROW()-3,"")</f>
        <v>6</v>
      </c>
      <c r="B9" s="352">
        <f t="shared" si="0"/>
        <v>6</v>
      </c>
      <c r="C9" s="353">
        <f t="shared" si="1"/>
        <v>9</v>
      </c>
      <c r="D9" s="354">
        <f t="shared" si="2"/>
        <v>0</v>
      </c>
      <c r="E9" s="355">
        <f t="shared" si="3"/>
        <v>0</v>
      </c>
      <c r="F9" s="354">
        <f t="shared" si="4"/>
        <v>0</v>
      </c>
      <c r="G9" s="354">
        <f t="shared" si="5"/>
        <v>4</v>
      </c>
      <c r="H9" s="354">
        <f t="shared" si="6"/>
        <v>0</v>
      </c>
      <c r="I9" s="354">
        <f t="shared" si="7"/>
        <v>0</v>
      </c>
      <c r="J9" s="354">
        <f t="shared" si="8"/>
        <v>0</v>
      </c>
      <c r="K9" s="356">
        <f t="shared" si="9"/>
        <v>0.21041666666666667</v>
      </c>
      <c r="L9" s="356">
        <f t="shared" si="10"/>
        <v>0.22361111111111112</v>
      </c>
      <c r="M9" s="356">
        <f t="shared" si="11"/>
        <v>0.22361111111111112</v>
      </c>
      <c r="N9" s="357">
        <f t="shared" si="12"/>
        <v>29</v>
      </c>
      <c r="O9" s="358">
        <f t="shared" si="13"/>
        <v>0</v>
      </c>
      <c r="P9" s="358">
        <f t="shared" si="14"/>
        <v>19</v>
      </c>
      <c r="Q9" s="358">
        <f t="shared" si="15"/>
        <v>10</v>
      </c>
      <c r="R9" s="353">
        <f t="shared" si="16"/>
        <v>0</v>
      </c>
      <c r="S9" s="359">
        <f t="shared" si="17"/>
        <v>0</v>
      </c>
      <c r="T9" s="360">
        <f t="shared" si="18"/>
        <v>0</v>
      </c>
      <c r="U9" s="361">
        <f t="shared" si="19"/>
        <v>0</v>
      </c>
      <c r="V9" s="362">
        <f t="shared" si="20"/>
        <v>0</v>
      </c>
      <c r="W9" s="363">
        <f t="shared" si="21"/>
        <v>0</v>
      </c>
    </row>
    <row r="10" spans="1:23" s="278" customFormat="1" ht="19.5" customHeight="1">
      <c r="A10" s="351">
        <f>IF(ROW()-3&lt;=MAX(Résultats!$A:$A),ROW()-3,"")</f>
        <v>7</v>
      </c>
      <c r="B10" s="352">
        <f t="shared" si="0"/>
        <v>7</v>
      </c>
      <c r="C10" s="353">
        <f t="shared" si="1"/>
        <v>12</v>
      </c>
      <c r="D10" s="354">
        <f t="shared" si="2"/>
        <v>0</v>
      </c>
      <c r="E10" s="355">
        <f t="shared" si="3"/>
        <v>0</v>
      </c>
      <c r="F10" s="354">
        <f t="shared" si="4"/>
        <v>0</v>
      </c>
      <c r="G10" s="354">
        <f t="shared" si="5"/>
        <v>3</v>
      </c>
      <c r="H10" s="354">
        <f t="shared" si="6"/>
        <v>0</v>
      </c>
      <c r="I10" s="354">
        <f t="shared" si="7"/>
        <v>0</v>
      </c>
      <c r="J10" s="354">
        <f t="shared" si="8"/>
        <v>0</v>
      </c>
      <c r="K10" s="356">
        <f t="shared" si="9"/>
        <v>0.21041666666666667</v>
      </c>
      <c r="L10" s="356">
        <f t="shared" si="10"/>
        <v>0.20972222222222223</v>
      </c>
      <c r="M10" s="356">
        <f t="shared" si="11"/>
        <v>0.21805555555555556</v>
      </c>
      <c r="N10" s="357">
        <f t="shared" si="12"/>
        <v>43</v>
      </c>
      <c r="O10" s="358">
        <f t="shared" si="13"/>
        <v>10</v>
      </c>
      <c r="P10" s="358">
        <f t="shared" si="14"/>
        <v>13</v>
      </c>
      <c r="Q10" s="358">
        <f t="shared" si="15"/>
        <v>20</v>
      </c>
      <c r="R10" s="353">
        <f t="shared" si="16"/>
        <v>0</v>
      </c>
      <c r="S10" s="359">
        <f t="shared" si="17"/>
        <v>0</v>
      </c>
      <c r="T10" s="360">
        <f t="shared" si="18"/>
        <v>0</v>
      </c>
      <c r="U10" s="361">
        <f t="shared" si="19"/>
        <v>0</v>
      </c>
      <c r="V10" s="362">
        <f t="shared" si="20"/>
        <v>0</v>
      </c>
      <c r="W10" s="363">
        <f t="shared" si="21"/>
        <v>0</v>
      </c>
    </row>
    <row r="11" spans="1:23" s="278" customFormat="1" ht="19.5" customHeight="1">
      <c r="A11" s="351">
        <f>IF(ROW()-3&lt;=MAX(Résultats!$A:$A),ROW()-3,"")</f>
        <v>8</v>
      </c>
      <c r="B11" s="352">
        <f t="shared" si="0"/>
        <v>8</v>
      </c>
      <c r="C11" s="353">
        <f t="shared" si="1"/>
        <v>5</v>
      </c>
      <c r="D11" s="354">
        <f t="shared" si="2"/>
        <v>0</v>
      </c>
      <c r="E11" s="355">
        <f t="shared" si="3"/>
        <v>0</v>
      </c>
      <c r="F11" s="354">
        <f t="shared" si="4"/>
        <v>0</v>
      </c>
      <c r="G11" s="354">
        <f t="shared" si="5"/>
        <v>3</v>
      </c>
      <c r="H11" s="354">
        <f t="shared" si="6"/>
        <v>0</v>
      </c>
      <c r="I11" s="354">
        <f t="shared" si="7"/>
        <v>0</v>
      </c>
      <c r="J11" s="354">
        <f t="shared" si="8"/>
        <v>0</v>
      </c>
      <c r="K11" s="356">
        <f t="shared" si="9"/>
        <v>0.21041666666666667</v>
      </c>
      <c r="L11" s="356">
        <f t="shared" si="10"/>
        <v>0.2125</v>
      </c>
      <c r="M11" s="356">
        <f t="shared" si="11"/>
        <v>0.2326388888888889</v>
      </c>
      <c r="N11" s="357">
        <f t="shared" si="12"/>
        <v>47</v>
      </c>
      <c r="O11" s="358">
        <f t="shared" si="13"/>
        <v>0</v>
      </c>
      <c r="P11" s="358">
        <f t="shared" si="14"/>
        <v>32</v>
      </c>
      <c r="Q11" s="358">
        <f t="shared" si="15"/>
        <v>15</v>
      </c>
      <c r="R11" s="353">
        <f t="shared" si="16"/>
        <v>0</v>
      </c>
      <c r="S11" s="359">
        <f t="shared" si="17"/>
        <v>0</v>
      </c>
      <c r="T11" s="360">
        <f t="shared" si="18"/>
        <v>0</v>
      </c>
      <c r="U11" s="361">
        <f t="shared" si="19"/>
        <v>0</v>
      </c>
      <c r="V11" s="362">
        <f t="shared" si="20"/>
        <v>0</v>
      </c>
      <c r="W11" s="363">
        <f t="shared" si="21"/>
        <v>0</v>
      </c>
    </row>
    <row r="12" spans="1:23" s="278" customFormat="1" ht="19.5" customHeight="1">
      <c r="A12" s="351">
        <f>IF(ROW()-3&lt;=MAX(Résultats!$A:$A),ROW()-3,"")</f>
        <v>9</v>
      </c>
      <c r="B12" s="352">
        <f t="shared" si="0"/>
        <v>9</v>
      </c>
      <c r="C12" s="353">
        <f t="shared" si="1"/>
        <v>8</v>
      </c>
      <c r="D12" s="354">
        <f t="shared" si="2"/>
        <v>0</v>
      </c>
      <c r="E12" s="355">
        <f t="shared" si="3"/>
        <v>0</v>
      </c>
      <c r="F12" s="354">
        <f t="shared" si="4"/>
        <v>0</v>
      </c>
      <c r="G12" s="354">
        <f t="shared" si="5"/>
        <v>3</v>
      </c>
      <c r="H12" s="354">
        <f t="shared" si="6"/>
        <v>0</v>
      </c>
      <c r="I12" s="354">
        <f t="shared" si="7"/>
        <v>0</v>
      </c>
      <c r="J12" s="354">
        <f t="shared" si="8"/>
        <v>0</v>
      </c>
      <c r="K12" s="356">
        <f t="shared" si="9"/>
        <v>0.21041666666666667</v>
      </c>
      <c r="L12" s="356">
        <f t="shared" si="10"/>
        <v>0.21666666666666667</v>
      </c>
      <c r="M12" s="356">
        <f t="shared" si="11"/>
        <v>0.21666666666666667</v>
      </c>
      <c r="N12" s="357">
        <f t="shared" si="12"/>
        <v>49</v>
      </c>
      <c r="O12" s="358">
        <f t="shared" si="13"/>
        <v>10</v>
      </c>
      <c r="P12" s="358">
        <f t="shared" si="14"/>
        <v>9</v>
      </c>
      <c r="Q12" s="358">
        <f t="shared" si="15"/>
        <v>30</v>
      </c>
      <c r="R12" s="353">
        <f t="shared" si="16"/>
        <v>0</v>
      </c>
      <c r="S12" s="359">
        <f t="shared" si="17"/>
        <v>0</v>
      </c>
      <c r="T12" s="360">
        <f t="shared" si="18"/>
        <v>0</v>
      </c>
      <c r="U12" s="361">
        <f t="shared" si="19"/>
        <v>0</v>
      </c>
      <c r="V12" s="362">
        <f t="shared" si="20"/>
        <v>0</v>
      </c>
      <c r="W12" s="363">
        <f t="shared" si="21"/>
        <v>0</v>
      </c>
    </row>
    <row r="13" spans="1:23" s="278" customFormat="1" ht="19.5" customHeight="1">
      <c r="A13" s="351">
        <f>IF(ROW()-3&lt;=MAX(Résultats!$A:$A),ROW()-3,"")</f>
        <v>10</v>
      </c>
      <c r="B13" s="352">
        <f t="shared" si="0"/>
        <v>10</v>
      </c>
      <c r="C13" s="353">
        <f t="shared" si="1"/>
        <v>10</v>
      </c>
      <c r="D13" s="354">
        <f t="shared" si="2"/>
        <v>0</v>
      </c>
      <c r="E13" s="355">
        <f t="shared" si="3"/>
        <v>0</v>
      </c>
      <c r="F13" s="354">
        <f t="shared" si="4"/>
        <v>0</v>
      </c>
      <c r="G13" s="354">
        <f t="shared" si="5"/>
        <v>3</v>
      </c>
      <c r="H13" s="354">
        <f t="shared" si="6"/>
        <v>0</v>
      </c>
      <c r="I13" s="354">
        <f t="shared" si="7"/>
        <v>0</v>
      </c>
      <c r="J13" s="354">
        <f t="shared" si="8"/>
        <v>0</v>
      </c>
      <c r="K13" s="356">
        <f t="shared" si="9"/>
        <v>0.21041666666666667</v>
      </c>
      <c r="L13" s="356">
        <f t="shared" si="10"/>
        <v>0.22916666666666666</v>
      </c>
      <c r="M13" s="356">
        <f t="shared" si="11"/>
        <v>0.23819444444444443</v>
      </c>
      <c r="N13" s="357">
        <f t="shared" si="12"/>
        <v>70</v>
      </c>
      <c r="O13" s="358">
        <f t="shared" si="13"/>
        <v>10</v>
      </c>
      <c r="P13" s="358">
        <f t="shared" si="14"/>
        <v>40</v>
      </c>
      <c r="Q13" s="358">
        <f t="shared" si="15"/>
        <v>20</v>
      </c>
      <c r="R13" s="353">
        <f t="shared" si="16"/>
        <v>0</v>
      </c>
      <c r="S13" s="359">
        <f t="shared" si="17"/>
        <v>0</v>
      </c>
      <c r="T13" s="360">
        <f t="shared" si="18"/>
        <v>0</v>
      </c>
      <c r="U13" s="361">
        <f t="shared" si="19"/>
        <v>0</v>
      </c>
      <c r="V13" s="362">
        <f t="shared" si="20"/>
        <v>0</v>
      </c>
      <c r="W13" s="363">
        <f t="shared" si="21"/>
        <v>0</v>
      </c>
    </row>
    <row r="14" spans="1:23" s="278" customFormat="1" ht="19.5" customHeight="1">
      <c r="A14" s="351">
        <f>IF(ROW()-3&lt;=MAX(Résultats!$A:$A),ROW()-3,"")</f>
        <v>11</v>
      </c>
      <c r="B14" s="352">
        <f t="shared" si="0"/>
        <v>11</v>
      </c>
      <c r="C14" s="353">
        <f t="shared" si="1"/>
        <v>2</v>
      </c>
      <c r="D14" s="354">
        <f t="shared" si="2"/>
        <v>0</v>
      </c>
      <c r="E14" s="355">
        <f t="shared" si="3"/>
        <v>0</v>
      </c>
      <c r="F14" s="354">
        <f t="shared" si="4"/>
        <v>0</v>
      </c>
      <c r="G14" s="354">
        <f t="shared" si="5"/>
        <v>3</v>
      </c>
      <c r="H14" s="354">
        <f t="shared" si="6"/>
        <v>0</v>
      </c>
      <c r="I14" s="354">
        <f t="shared" si="7"/>
        <v>0</v>
      </c>
      <c r="J14" s="354">
        <f t="shared" si="8"/>
        <v>0</v>
      </c>
      <c r="K14" s="356">
        <f t="shared" si="9"/>
        <v>0.21041666666666667</v>
      </c>
      <c r="L14" s="356">
        <f t="shared" si="10"/>
        <v>0.1875</v>
      </c>
      <c r="M14" s="356">
        <f t="shared" si="11"/>
        <v>0.1875</v>
      </c>
      <c r="N14" s="357">
        <f t="shared" si="12"/>
        <v>73</v>
      </c>
      <c r="O14" s="358">
        <f t="shared" si="13"/>
        <v>10</v>
      </c>
      <c r="P14" s="358">
        <f t="shared" si="14"/>
        <v>33</v>
      </c>
      <c r="Q14" s="358">
        <f t="shared" si="15"/>
        <v>30</v>
      </c>
      <c r="R14" s="353">
        <f t="shared" si="16"/>
        <v>0</v>
      </c>
      <c r="S14" s="359">
        <f t="shared" si="17"/>
        <v>0</v>
      </c>
      <c r="T14" s="360">
        <f t="shared" si="18"/>
        <v>0</v>
      </c>
      <c r="U14" s="361">
        <f t="shared" si="19"/>
        <v>0</v>
      </c>
      <c r="V14" s="362">
        <f t="shared" si="20"/>
        <v>0</v>
      </c>
      <c r="W14" s="363">
        <f t="shared" si="21"/>
        <v>0</v>
      </c>
    </row>
    <row r="15" spans="1:23" s="278" customFormat="1" ht="19.5" customHeight="1">
      <c r="A15" s="351">
        <f>IF(ROW()-3&lt;=MAX(Résultats!$A:$A),ROW()-3,"")</f>
        <v>12</v>
      </c>
      <c r="B15" s="352">
        <f t="shared" si="0"/>
        <v>12</v>
      </c>
      <c r="C15" s="353">
        <f t="shared" si="1"/>
        <v>11</v>
      </c>
      <c r="D15" s="354">
        <f t="shared" si="2"/>
        <v>0</v>
      </c>
      <c r="E15" s="355">
        <f t="shared" si="3"/>
        <v>0</v>
      </c>
      <c r="F15" s="354">
        <f t="shared" si="4"/>
        <v>0</v>
      </c>
      <c r="G15" s="354">
        <f t="shared" si="5"/>
        <v>4</v>
      </c>
      <c r="H15" s="354">
        <f t="shared" si="6"/>
        <v>0</v>
      </c>
      <c r="I15" s="354">
        <f t="shared" si="7"/>
        <v>0</v>
      </c>
      <c r="J15" s="354">
        <f t="shared" si="8"/>
        <v>0</v>
      </c>
      <c r="K15" s="356">
        <f t="shared" si="9"/>
        <v>0.21041666666666667</v>
      </c>
      <c r="L15" s="356">
        <f t="shared" si="10"/>
        <v>0.2222222222222222</v>
      </c>
      <c r="M15" s="356">
        <f t="shared" si="11"/>
        <v>0.2222222222222222</v>
      </c>
      <c r="N15" s="357">
        <f t="shared" si="12"/>
        <v>87</v>
      </c>
      <c r="O15" s="358">
        <f t="shared" si="13"/>
        <v>40</v>
      </c>
      <c r="P15" s="358">
        <f t="shared" si="14"/>
        <v>17</v>
      </c>
      <c r="Q15" s="358">
        <f t="shared" si="15"/>
        <v>30</v>
      </c>
      <c r="R15" s="353">
        <f t="shared" si="16"/>
        <v>0</v>
      </c>
      <c r="S15" s="359">
        <f t="shared" si="17"/>
        <v>0</v>
      </c>
      <c r="T15" s="360">
        <f t="shared" si="18"/>
        <v>0</v>
      </c>
      <c r="U15" s="361">
        <f t="shared" si="19"/>
        <v>0</v>
      </c>
      <c r="V15" s="362">
        <f t="shared" si="20"/>
        <v>0</v>
      </c>
      <c r="W15" s="363">
        <f t="shared" si="21"/>
        <v>0</v>
      </c>
    </row>
    <row r="16" spans="1:23" s="278" customFormat="1" ht="19.5" customHeight="1">
      <c r="A16" s="351">
        <f>IF(ROW()-3&lt;=MAX(Résultats!$A:$A),ROW()-3,"")</f>
        <v>13</v>
      </c>
      <c r="B16" s="352">
        <f t="shared" si="0"/>
        <v>13</v>
      </c>
      <c r="C16" s="353">
        <f t="shared" si="1"/>
        <v>1</v>
      </c>
      <c r="D16" s="354">
        <f t="shared" si="2"/>
        <v>0</v>
      </c>
      <c r="E16" s="355">
        <f t="shared" si="3"/>
        <v>0</v>
      </c>
      <c r="F16" s="354">
        <f t="shared" si="4"/>
        <v>0</v>
      </c>
      <c r="G16" s="354">
        <f t="shared" si="5"/>
        <v>4</v>
      </c>
      <c r="H16" s="354">
        <f t="shared" si="6"/>
        <v>0</v>
      </c>
      <c r="I16" s="354">
        <f t="shared" si="7"/>
        <v>0</v>
      </c>
      <c r="J16" s="354">
        <f t="shared" si="8"/>
        <v>0</v>
      </c>
      <c r="K16" s="356">
        <f t="shared" si="9"/>
        <v>0.21041666666666667</v>
      </c>
      <c r="L16" s="356">
        <f t="shared" si="10"/>
        <v>0.20277777777777778</v>
      </c>
      <c r="M16" s="356">
        <f t="shared" si="11"/>
        <v>0.2048611111111111</v>
      </c>
      <c r="N16" s="357">
        <f t="shared" si="12"/>
        <v>94</v>
      </c>
      <c r="O16" s="358">
        <f t="shared" si="13"/>
        <v>40</v>
      </c>
      <c r="P16" s="358">
        <f t="shared" si="14"/>
        <v>14</v>
      </c>
      <c r="Q16" s="358">
        <f t="shared" si="15"/>
        <v>40</v>
      </c>
      <c r="R16" s="353">
        <f t="shared" si="16"/>
        <v>0</v>
      </c>
      <c r="S16" s="359">
        <f t="shared" si="17"/>
        <v>0</v>
      </c>
      <c r="T16" s="360">
        <f t="shared" si="18"/>
        <v>0</v>
      </c>
      <c r="U16" s="361">
        <f t="shared" si="19"/>
        <v>0</v>
      </c>
      <c r="V16" s="362">
        <f t="shared" si="20"/>
        <v>0</v>
      </c>
      <c r="W16" s="363">
        <f t="shared" si="21"/>
        <v>0</v>
      </c>
    </row>
    <row r="17" spans="1:23" s="278" customFormat="1" ht="19.5" customHeight="1">
      <c r="A17" s="351">
        <f>IF(ROW()-3&lt;=MAX(Résultats!$A:$A),ROW()-3,"")</f>
        <v>0</v>
      </c>
      <c r="B17" s="352">
        <f t="shared" si="0"/>
        <v>0</v>
      </c>
      <c r="C17" s="353">
        <f t="shared" si="1"/>
        <v>0</v>
      </c>
      <c r="D17" s="354">
        <f t="shared" si="2"/>
        <v>0</v>
      </c>
      <c r="E17" s="355">
        <f t="shared" si="3"/>
        <v>0</v>
      </c>
      <c r="F17" s="354">
        <f t="shared" si="4"/>
        <v>0</v>
      </c>
      <c r="G17" s="354">
        <f t="shared" si="5"/>
        <v>0</v>
      </c>
      <c r="H17" s="354">
        <f t="shared" si="6"/>
        <v>0</v>
      </c>
      <c r="I17" s="354">
        <f t="shared" si="7"/>
        <v>0</v>
      </c>
      <c r="J17" s="354">
        <f t="shared" si="8"/>
        <v>0</v>
      </c>
      <c r="K17" s="356">
        <f t="shared" si="9"/>
        <v>0</v>
      </c>
      <c r="L17" s="356">
        <f t="shared" si="10"/>
        <v>0</v>
      </c>
      <c r="M17" s="356">
        <f t="shared" si="11"/>
        <v>0</v>
      </c>
      <c r="N17" s="357">
        <f t="shared" si="12"/>
        <v>0</v>
      </c>
      <c r="O17" s="358">
        <f t="shared" si="13"/>
        <v>0</v>
      </c>
      <c r="P17" s="358">
        <f t="shared" si="14"/>
        <v>0</v>
      </c>
      <c r="Q17" s="358">
        <f t="shared" si="15"/>
        <v>0</v>
      </c>
      <c r="R17" s="353">
        <f t="shared" si="16"/>
        <v>0</v>
      </c>
      <c r="S17" s="359">
        <f t="shared" si="17"/>
        <v>0</v>
      </c>
      <c r="T17" s="360">
        <f t="shared" si="18"/>
        <v>0</v>
      </c>
      <c r="U17" s="361">
        <f t="shared" si="19"/>
        <v>0</v>
      </c>
      <c r="V17" s="362">
        <f t="shared" si="20"/>
        <v>0</v>
      </c>
      <c r="W17" s="363">
        <f t="shared" si="21"/>
        <v>0</v>
      </c>
    </row>
    <row r="18" spans="1:23" s="278" customFormat="1" ht="19.5" customHeight="1">
      <c r="A18" s="351">
        <f>IF(ROW()-3&lt;=MAX(Résultats!$A:$A),ROW()-3,"")</f>
        <v>0</v>
      </c>
      <c r="B18" s="352">
        <f t="shared" si="0"/>
        <v>0</v>
      </c>
      <c r="C18" s="353">
        <f t="shared" si="1"/>
        <v>0</v>
      </c>
      <c r="D18" s="354">
        <f t="shared" si="2"/>
        <v>0</v>
      </c>
      <c r="E18" s="355">
        <f t="shared" si="3"/>
        <v>0</v>
      </c>
      <c r="F18" s="354">
        <f t="shared" si="4"/>
        <v>0</v>
      </c>
      <c r="G18" s="354">
        <f t="shared" si="5"/>
        <v>0</v>
      </c>
      <c r="H18" s="354">
        <f t="shared" si="6"/>
        <v>0</v>
      </c>
      <c r="I18" s="354">
        <f t="shared" si="7"/>
        <v>0</v>
      </c>
      <c r="J18" s="354">
        <f t="shared" si="8"/>
        <v>0</v>
      </c>
      <c r="K18" s="356">
        <f t="shared" si="9"/>
        <v>0</v>
      </c>
      <c r="L18" s="356">
        <f t="shared" si="10"/>
        <v>0</v>
      </c>
      <c r="M18" s="356">
        <f t="shared" si="11"/>
        <v>0</v>
      </c>
      <c r="N18" s="357">
        <f t="shared" si="12"/>
        <v>0</v>
      </c>
      <c r="O18" s="358">
        <f t="shared" si="13"/>
        <v>0</v>
      </c>
      <c r="P18" s="358">
        <f t="shared" si="14"/>
        <v>0</v>
      </c>
      <c r="Q18" s="358">
        <f t="shared" si="15"/>
        <v>0</v>
      </c>
      <c r="R18" s="353">
        <f t="shared" si="16"/>
        <v>0</v>
      </c>
      <c r="S18" s="359">
        <f t="shared" si="17"/>
        <v>0</v>
      </c>
      <c r="T18" s="360">
        <f t="shared" si="18"/>
        <v>0</v>
      </c>
      <c r="U18" s="361">
        <f t="shared" si="19"/>
        <v>0</v>
      </c>
      <c r="V18" s="362">
        <f t="shared" si="20"/>
        <v>0</v>
      </c>
      <c r="W18" s="363">
        <f t="shared" si="21"/>
        <v>0</v>
      </c>
    </row>
    <row r="19" spans="1:23" s="278" customFormat="1" ht="19.5" customHeight="1">
      <c r="A19" s="351">
        <f>IF(ROW()-3&lt;=MAX(Résultats!$A:$A),ROW()-3,"")</f>
        <v>0</v>
      </c>
      <c r="B19" s="352">
        <f t="shared" si="0"/>
        <v>0</v>
      </c>
      <c r="C19" s="353">
        <f t="shared" si="1"/>
        <v>0</v>
      </c>
      <c r="D19" s="354">
        <f t="shared" si="2"/>
        <v>0</v>
      </c>
      <c r="E19" s="355">
        <f t="shared" si="3"/>
        <v>0</v>
      </c>
      <c r="F19" s="354">
        <f t="shared" si="4"/>
        <v>0</v>
      </c>
      <c r="G19" s="354">
        <f t="shared" si="5"/>
        <v>0</v>
      </c>
      <c r="H19" s="354">
        <f t="shared" si="6"/>
        <v>0</v>
      </c>
      <c r="I19" s="354">
        <f t="shared" si="7"/>
        <v>0</v>
      </c>
      <c r="J19" s="354">
        <f t="shared" si="8"/>
        <v>0</v>
      </c>
      <c r="K19" s="356">
        <f t="shared" si="9"/>
        <v>0</v>
      </c>
      <c r="L19" s="356">
        <f t="shared" si="10"/>
        <v>0</v>
      </c>
      <c r="M19" s="356">
        <f t="shared" si="11"/>
        <v>0</v>
      </c>
      <c r="N19" s="357">
        <f t="shared" si="12"/>
        <v>0</v>
      </c>
      <c r="O19" s="358">
        <f t="shared" si="13"/>
        <v>0</v>
      </c>
      <c r="P19" s="358">
        <f t="shared" si="14"/>
        <v>0</v>
      </c>
      <c r="Q19" s="358">
        <f t="shared" si="15"/>
        <v>0</v>
      </c>
      <c r="R19" s="353">
        <f t="shared" si="16"/>
        <v>0</v>
      </c>
      <c r="S19" s="359">
        <f t="shared" si="17"/>
        <v>0</v>
      </c>
      <c r="T19" s="360">
        <f t="shared" si="18"/>
        <v>0</v>
      </c>
      <c r="U19" s="361">
        <f t="shared" si="19"/>
        <v>0</v>
      </c>
      <c r="V19" s="362">
        <f t="shared" si="20"/>
        <v>0</v>
      </c>
      <c r="W19" s="363">
        <f t="shared" si="21"/>
        <v>0</v>
      </c>
    </row>
    <row r="20" spans="1:23" s="278" customFormat="1" ht="19.5" customHeight="1">
      <c r="A20" s="351">
        <f>IF(ROW()-3&lt;=MAX(Résultats!$A:$A),ROW()-3,"")</f>
        <v>0</v>
      </c>
      <c r="B20" s="352">
        <f t="shared" si="0"/>
        <v>0</v>
      </c>
      <c r="C20" s="353">
        <f t="shared" si="1"/>
        <v>0</v>
      </c>
      <c r="D20" s="354">
        <f t="shared" si="2"/>
        <v>0</v>
      </c>
      <c r="E20" s="355">
        <f t="shared" si="3"/>
        <v>0</v>
      </c>
      <c r="F20" s="354">
        <f t="shared" si="4"/>
        <v>0</v>
      </c>
      <c r="G20" s="354">
        <f t="shared" si="5"/>
        <v>0</v>
      </c>
      <c r="H20" s="354">
        <f t="shared" si="6"/>
        <v>0</v>
      </c>
      <c r="I20" s="354">
        <f t="shared" si="7"/>
        <v>0</v>
      </c>
      <c r="J20" s="354">
        <f t="shared" si="8"/>
        <v>0</v>
      </c>
      <c r="K20" s="356">
        <f t="shared" si="9"/>
        <v>0</v>
      </c>
      <c r="L20" s="356">
        <f t="shared" si="10"/>
        <v>0</v>
      </c>
      <c r="M20" s="356">
        <f t="shared" si="11"/>
        <v>0</v>
      </c>
      <c r="N20" s="357">
        <f t="shared" si="12"/>
        <v>0</v>
      </c>
      <c r="O20" s="358">
        <f t="shared" si="13"/>
        <v>0</v>
      </c>
      <c r="P20" s="358">
        <f t="shared" si="14"/>
        <v>0</v>
      </c>
      <c r="Q20" s="358">
        <f t="shared" si="15"/>
        <v>0</v>
      </c>
      <c r="R20" s="353">
        <f t="shared" si="16"/>
        <v>0</v>
      </c>
      <c r="S20" s="359">
        <f t="shared" si="17"/>
        <v>0</v>
      </c>
      <c r="T20" s="360">
        <f t="shared" si="18"/>
        <v>0</v>
      </c>
      <c r="U20" s="361">
        <f t="shared" si="19"/>
        <v>0</v>
      </c>
      <c r="V20" s="362">
        <f t="shared" si="20"/>
        <v>0</v>
      </c>
      <c r="W20" s="363">
        <f t="shared" si="21"/>
        <v>0</v>
      </c>
    </row>
    <row r="21" spans="1:23" s="278" customFormat="1" ht="19.5" customHeight="1">
      <c r="A21" s="351">
        <f>IF(ROW()-3&lt;=MAX(Résultats!$A:$A),ROW()-3,"")</f>
        <v>0</v>
      </c>
      <c r="B21" s="352">
        <f t="shared" si="0"/>
        <v>0</v>
      </c>
      <c r="C21" s="353">
        <f t="shared" si="1"/>
        <v>0</v>
      </c>
      <c r="D21" s="354">
        <f t="shared" si="2"/>
        <v>0</v>
      </c>
      <c r="E21" s="355">
        <f t="shared" si="3"/>
        <v>0</v>
      </c>
      <c r="F21" s="354">
        <f t="shared" si="4"/>
        <v>0</v>
      </c>
      <c r="G21" s="354">
        <f t="shared" si="5"/>
        <v>0</v>
      </c>
      <c r="H21" s="354">
        <f t="shared" si="6"/>
        <v>0</v>
      </c>
      <c r="I21" s="354">
        <f t="shared" si="7"/>
        <v>0</v>
      </c>
      <c r="J21" s="354">
        <f t="shared" si="8"/>
        <v>0</v>
      </c>
      <c r="K21" s="356">
        <f t="shared" si="9"/>
        <v>0</v>
      </c>
      <c r="L21" s="356">
        <f t="shared" si="10"/>
        <v>0</v>
      </c>
      <c r="M21" s="356">
        <f t="shared" si="11"/>
        <v>0</v>
      </c>
      <c r="N21" s="357">
        <f t="shared" si="12"/>
        <v>0</v>
      </c>
      <c r="O21" s="358">
        <f t="shared" si="13"/>
        <v>0</v>
      </c>
      <c r="P21" s="358">
        <f t="shared" si="14"/>
        <v>0</v>
      </c>
      <c r="Q21" s="358">
        <f t="shared" si="15"/>
        <v>0</v>
      </c>
      <c r="R21" s="353">
        <f t="shared" si="16"/>
        <v>0</v>
      </c>
      <c r="S21" s="359">
        <f t="shared" si="17"/>
        <v>0</v>
      </c>
      <c r="T21" s="360">
        <f t="shared" si="18"/>
        <v>0</v>
      </c>
      <c r="U21" s="361">
        <f t="shared" si="19"/>
        <v>0</v>
      </c>
      <c r="V21" s="362">
        <f t="shared" si="20"/>
        <v>0</v>
      </c>
      <c r="W21" s="363">
        <f t="shared" si="21"/>
        <v>0</v>
      </c>
    </row>
    <row r="22" spans="1:23" s="278" customFormat="1" ht="19.5" customHeight="1">
      <c r="A22" s="351">
        <f>IF(ROW()-3&lt;=MAX(Résultats!$A:$A),ROW()-3,"")</f>
        <v>0</v>
      </c>
      <c r="B22" s="352">
        <f t="shared" si="0"/>
        <v>0</v>
      </c>
      <c r="C22" s="353">
        <f t="shared" si="1"/>
        <v>0</v>
      </c>
      <c r="D22" s="354">
        <f t="shared" si="2"/>
        <v>0</v>
      </c>
      <c r="E22" s="355">
        <f t="shared" si="3"/>
        <v>0</v>
      </c>
      <c r="F22" s="354">
        <f t="shared" si="4"/>
        <v>0</v>
      </c>
      <c r="G22" s="354">
        <f t="shared" si="5"/>
        <v>0</v>
      </c>
      <c r="H22" s="354">
        <f t="shared" si="6"/>
        <v>0</v>
      </c>
      <c r="I22" s="354">
        <f t="shared" si="7"/>
        <v>0</v>
      </c>
      <c r="J22" s="354">
        <f t="shared" si="8"/>
        <v>0</v>
      </c>
      <c r="K22" s="356">
        <f t="shared" si="9"/>
        <v>0</v>
      </c>
      <c r="L22" s="356">
        <f t="shared" si="10"/>
        <v>0</v>
      </c>
      <c r="M22" s="356">
        <f t="shared" si="11"/>
        <v>0</v>
      </c>
      <c r="N22" s="357">
        <f t="shared" si="12"/>
        <v>0</v>
      </c>
      <c r="O22" s="358">
        <f t="shared" si="13"/>
        <v>0</v>
      </c>
      <c r="P22" s="358">
        <f t="shared" si="14"/>
        <v>0</v>
      </c>
      <c r="Q22" s="358">
        <f t="shared" si="15"/>
        <v>0</v>
      </c>
      <c r="R22" s="353">
        <f t="shared" si="16"/>
        <v>0</v>
      </c>
      <c r="S22" s="359">
        <f t="shared" si="17"/>
        <v>0</v>
      </c>
      <c r="T22" s="360">
        <f t="shared" si="18"/>
        <v>0</v>
      </c>
      <c r="U22" s="361">
        <f t="shared" si="19"/>
        <v>0</v>
      </c>
      <c r="V22" s="362">
        <f t="shared" si="20"/>
        <v>0</v>
      </c>
      <c r="W22" s="363">
        <f t="shared" si="21"/>
        <v>0</v>
      </c>
    </row>
    <row r="23" spans="1:23" s="278" customFormat="1" ht="19.5" customHeight="1">
      <c r="A23" s="351">
        <f>IF(ROW()-3&lt;=MAX(Résultats!$A:$A),ROW()-3,"")</f>
        <v>0</v>
      </c>
      <c r="B23" s="352">
        <f t="shared" si="0"/>
        <v>0</v>
      </c>
      <c r="C23" s="353">
        <f t="shared" si="1"/>
        <v>0</v>
      </c>
      <c r="D23" s="354">
        <f t="shared" si="2"/>
        <v>0</v>
      </c>
      <c r="E23" s="355">
        <f t="shared" si="3"/>
        <v>0</v>
      </c>
      <c r="F23" s="354">
        <f t="shared" si="4"/>
        <v>0</v>
      </c>
      <c r="G23" s="354">
        <f t="shared" si="5"/>
        <v>0</v>
      </c>
      <c r="H23" s="354">
        <f t="shared" si="6"/>
        <v>0</v>
      </c>
      <c r="I23" s="354">
        <f t="shared" si="7"/>
        <v>0</v>
      </c>
      <c r="J23" s="354">
        <f t="shared" si="8"/>
        <v>0</v>
      </c>
      <c r="K23" s="356">
        <f t="shared" si="9"/>
        <v>0</v>
      </c>
      <c r="L23" s="356">
        <f t="shared" si="10"/>
        <v>0</v>
      </c>
      <c r="M23" s="356">
        <f t="shared" si="11"/>
        <v>0</v>
      </c>
      <c r="N23" s="357">
        <f t="shared" si="12"/>
        <v>0</v>
      </c>
      <c r="O23" s="358">
        <f t="shared" si="13"/>
        <v>0</v>
      </c>
      <c r="P23" s="358">
        <f t="shared" si="14"/>
        <v>0</v>
      </c>
      <c r="Q23" s="358">
        <f t="shared" si="15"/>
        <v>0</v>
      </c>
      <c r="R23" s="353">
        <f t="shared" si="16"/>
        <v>0</v>
      </c>
      <c r="S23" s="359">
        <f t="shared" si="17"/>
        <v>0</v>
      </c>
      <c r="T23" s="360">
        <f t="shared" si="18"/>
        <v>0</v>
      </c>
      <c r="U23" s="361">
        <f t="shared" si="19"/>
        <v>0</v>
      </c>
      <c r="V23" s="362">
        <f t="shared" si="20"/>
        <v>0</v>
      </c>
      <c r="W23" s="363">
        <f t="shared" si="21"/>
        <v>0</v>
      </c>
    </row>
    <row r="24" spans="1:23" s="278" customFormat="1" ht="19.5" customHeight="1">
      <c r="A24" s="351">
        <f>IF(ROW()-3&lt;=MAX(Résultats!$A:$A),ROW()-3,"")</f>
        <v>0</v>
      </c>
      <c r="B24" s="352">
        <f t="shared" si="0"/>
        <v>0</v>
      </c>
      <c r="C24" s="353">
        <f t="shared" si="1"/>
        <v>0</v>
      </c>
      <c r="D24" s="354">
        <f t="shared" si="2"/>
        <v>0</v>
      </c>
      <c r="E24" s="355">
        <f t="shared" si="3"/>
        <v>0</v>
      </c>
      <c r="F24" s="354">
        <f t="shared" si="4"/>
        <v>0</v>
      </c>
      <c r="G24" s="354">
        <f t="shared" si="5"/>
        <v>0</v>
      </c>
      <c r="H24" s="354">
        <f t="shared" si="6"/>
        <v>0</v>
      </c>
      <c r="I24" s="354">
        <f t="shared" si="7"/>
        <v>0</v>
      </c>
      <c r="J24" s="354">
        <f t="shared" si="8"/>
        <v>0</v>
      </c>
      <c r="K24" s="356">
        <f t="shared" si="9"/>
        <v>0</v>
      </c>
      <c r="L24" s="356">
        <f t="shared" si="10"/>
        <v>0</v>
      </c>
      <c r="M24" s="356">
        <f t="shared" si="11"/>
        <v>0</v>
      </c>
      <c r="N24" s="357">
        <f t="shared" si="12"/>
        <v>0</v>
      </c>
      <c r="O24" s="358">
        <f t="shared" si="13"/>
        <v>0</v>
      </c>
      <c r="P24" s="358">
        <f t="shared" si="14"/>
        <v>0</v>
      </c>
      <c r="Q24" s="358">
        <f t="shared" si="15"/>
        <v>0</v>
      </c>
      <c r="R24" s="353">
        <f t="shared" si="16"/>
        <v>0</v>
      </c>
      <c r="S24" s="359">
        <f t="shared" si="17"/>
        <v>0</v>
      </c>
      <c r="T24" s="360">
        <f t="shared" si="18"/>
        <v>0</v>
      </c>
      <c r="U24" s="361">
        <f t="shared" si="19"/>
        <v>0</v>
      </c>
      <c r="V24" s="362">
        <f t="shared" si="20"/>
        <v>0</v>
      </c>
      <c r="W24" s="363">
        <f t="shared" si="21"/>
        <v>0</v>
      </c>
    </row>
    <row r="25" spans="1:23" s="278" customFormat="1" ht="19.5" customHeight="1">
      <c r="A25" s="351">
        <f>IF(ROW()-3&lt;=MAX(Résultats!$A:$A),ROW()-3,"")</f>
        <v>0</v>
      </c>
      <c r="B25" s="352">
        <f t="shared" si="0"/>
        <v>0</v>
      </c>
      <c r="C25" s="353">
        <f t="shared" si="1"/>
        <v>0</v>
      </c>
      <c r="D25" s="354">
        <f t="shared" si="2"/>
        <v>0</v>
      </c>
      <c r="E25" s="355">
        <f t="shared" si="3"/>
        <v>0</v>
      </c>
      <c r="F25" s="354">
        <f t="shared" si="4"/>
        <v>0</v>
      </c>
      <c r="G25" s="354">
        <f t="shared" si="5"/>
        <v>0</v>
      </c>
      <c r="H25" s="354">
        <f t="shared" si="6"/>
        <v>0</v>
      </c>
      <c r="I25" s="354">
        <f t="shared" si="7"/>
        <v>0</v>
      </c>
      <c r="J25" s="354">
        <f t="shared" si="8"/>
        <v>0</v>
      </c>
      <c r="K25" s="356">
        <f t="shared" si="9"/>
        <v>0</v>
      </c>
      <c r="L25" s="356">
        <f t="shared" si="10"/>
        <v>0</v>
      </c>
      <c r="M25" s="356">
        <f t="shared" si="11"/>
        <v>0</v>
      </c>
      <c r="N25" s="357">
        <f t="shared" si="12"/>
        <v>0</v>
      </c>
      <c r="O25" s="358">
        <f t="shared" si="13"/>
        <v>0</v>
      </c>
      <c r="P25" s="358">
        <f t="shared" si="14"/>
        <v>0</v>
      </c>
      <c r="Q25" s="358">
        <f t="shared" si="15"/>
        <v>0</v>
      </c>
      <c r="R25" s="353">
        <f t="shared" si="16"/>
        <v>0</v>
      </c>
      <c r="S25" s="359">
        <f t="shared" si="17"/>
        <v>0</v>
      </c>
      <c r="T25" s="360">
        <f t="shared" si="18"/>
        <v>0</v>
      </c>
      <c r="U25" s="361">
        <f t="shared" si="19"/>
        <v>0</v>
      </c>
      <c r="V25" s="362">
        <f t="shared" si="20"/>
        <v>0</v>
      </c>
      <c r="W25" s="363">
        <f t="shared" si="21"/>
        <v>0</v>
      </c>
    </row>
    <row r="26" spans="1:23" s="278" customFormat="1" ht="19.5" customHeight="1">
      <c r="A26" s="351">
        <f>IF(ROW()-3&lt;=MAX(Résultats!$A:$A),ROW()-3,"")</f>
        <v>0</v>
      </c>
      <c r="B26" s="352">
        <f t="shared" si="0"/>
        <v>0</v>
      </c>
      <c r="C26" s="353">
        <f t="shared" si="1"/>
        <v>0</v>
      </c>
      <c r="D26" s="354">
        <f t="shared" si="2"/>
        <v>0</v>
      </c>
      <c r="E26" s="355">
        <f t="shared" si="3"/>
        <v>0</v>
      </c>
      <c r="F26" s="354">
        <f t="shared" si="4"/>
        <v>0</v>
      </c>
      <c r="G26" s="354">
        <f t="shared" si="5"/>
        <v>0</v>
      </c>
      <c r="H26" s="354">
        <f t="shared" si="6"/>
        <v>0</v>
      </c>
      <c r="I26" s="354">
        <f t="shared" si="7"/>
        <v>0</v>
      </c>
      <c r="J26" s="354">
        <f t="shared" si="8"/>
        <v>0</v>
      </c>
      <c r="K26" s="356">
        <f t="shared" si="9"/>
        <v>0</v>
      </c>
      <c r="L26" s="356">
        <f t="shared" si="10"/>
        <v>0</v>
      </c>
      <c r="M26" s="356">
        <f t="shared" si="11"/>
        <v>0</v>
      </c>
      <c r="N26" s="357">
        <f t="shared" si="12"/>
        <v>0</v>
      </c>
      <c r="O26" s="358">
        <f t="shared" si="13"/>
        <v>0</v>
      </c>
      <c r="P26" s="358">
        <f t="shared" si="14"/>
        <v>0</v>
      </c>
      <c r="Q26" s="358">
        <f t="shared" si="15"/>
        <v>0</v>
      </c>
      <c r="R26" s="353">
        <f t="shared" si="16"/>
        <v>0</v>
      </c>
      <c r="S26" s="359">
        <f t="shared" si="17"/>
        <v>0</v>
      </c>
      <c r="T26" s="360">
        <f t="shared" si="18"/>
        <v>0</v>
      </c>
      <c r="U26" s="361">
        <f t="shared" si="19"/>
        <v>0</v>
      </c>
      <c r="V26" s="362">
        <f t="shared" si="20"/>
        <v>0</v>
      </c>
      <c r="W26" s="363">
        <f t="shared" si="21"/>
        <v>0</v>
      </c>
    </row>
    <row r="27" spans="1:23" s="278" customFormat="1" ht="19.5" customHeight="1">
      <c r="A27" s="351">
        <f>IF(ROW()-3&lt;=MAX(Résultats!$A:$A),ROW()-3,"")</f>
        <v>0</v>
      </c>
      <c r="B27" s="352">
        <f t="shared" si="0"/>
        <v>0</v>
      </c>
      <c r="C27" s="353">
        <f t="shared" si="1"/>
        <v>0</v>
      </c>
      <c r="D27" s="354">
        <f t="shared" si="2"/>
        <v>0</v>
      </c>
      <c r="E27" s="355">
        <f t="shared" si="3"/>
        <v>0</v>
      </c>
      <c r="F27" s="354">
        <f t="shared" si="4"/>
        <v>0</v>
      </c>
      <c r="G27" s="354">
        <f t="shared" si="5"/>
        <v>0</v>
      </c>
      <c r="H27" s="354">
        <f t="shared" si="6"/>
        <v>0</v>
      </c>
      <c r="I27" s="354">
        <f t="shared" si="7"/>
        <v>0</v>
      </c>
      <c r="J27" s="354">
        <f t="shared" si="8"/>
        <v>0</v>
      </c>
      <c r="K27" s="356">
        <f t="shared" si="9"/>
        <v>0</v>
      </c>
      <c r="L27" s="356">
        <f t="shared" si="10"/>
        <v>0</v>
      </c>
      <c r="M27" s="356">
        <f t="shared" si="11"/>
        <v>0</v>
      </c>
      <c r="N27" s="357">
        <f t="shared" si="12"/>
        <v>0</v>
      </c>
      <c r="O27" s="358">
        <f t="shared" si="13"/>
        <v>0</v>
      </c>
      <c r="P27" s="358">
        <f t="shared" si="14"/>
        <v>0</v>
      </c>
      <c r="Q27" s="358">
        <f t="shared" si="15"/>
        <v>0</v>
      </c>
      <c r="R27" s="353">
        <f t="shared" si="16"/>
        <v>0</v>
      </c>
      <c r="S27" s="359">
        <f t="shared" si="17"/>
        <v>0</v>
      </c>
      <c r="T27" s="360">
        <f t="shared" si="18"/>
        <v>0</v>
      </c>
      <c r="U27" s="361">
        <f t="shared" si="19"/>
        <v>0</v>
      </c>
      <c r="V27" s="362">
        <f t="shared" si="20"/>
        <v>0</v>
      </c>
      <c r="W27" s="363">
        <f t="shared" si="21"/>
        <v>0</v>
      </c>
    </row>
    <row r="28" spans="1:23" s="278" customFormat="1" ht="19.5" customHeight="1">
      <c r="A28" s="351">
        <f>IF(ROW()-3&lt;=MAX(Résultats!$A:$A),ROW()-3,"")</f>
        <v>0</v>
      </c>
      <c r="B28" s="352">
        <f t="shared" si="0"/>
        <v>0</v>
      </c>
      <c r="C28" s="353">
        <f t="shared" si="1"/>
        <v>0</v>
      </c>
      <c r="D28" s="354">
        <f t="shared" si="2"/>
        <v>0</v>
      </c>
      <c r="E28" s="355">
        <f t="shared" si="3"/>
        <v>0</v>
      </c>
      <c r="F28" s="354">
        <f t="shared" si="4"/>
        <v>0</v>
      </c>
      <c r="G28" s="354">
        <f t="shared" si="5"/>
        <v>0</v>
      </c>
      <c r="H28" s="354">
        <f t="shared" si="6"/>
        <v>0</v>
      </c>
      <c r="I28" s="354">
        <f t="shared" si="7"/>
        <v>0</v>
      </c>
      <c r="J28" s="354">
        <f t="shared" si="8"/>
        <v>0</v>
      </c>
      <c r="K28" s="356">
        <f t="shared" si="9"/>
        <v>0</v>
      </c>
      <c r="L28" s="356">
        <f t="shared" si="10"/>
        <v>0</v>
      </c>
      <c r="M28" s="356">
        <f t="shared" si="11"/>
        <v>0</v>
      </c>
      <c r="N28" s="357">
        <f t="shared" si="12"/>
        <v>0</v>
      </c>
      <c r="O28" s="358">
        <f t="shared" si="13"/>
        <v>0</v>
      </c>
      <c r="P28" s="358">
        <f t="shared" si="14"/>
        <v>0</v>
      </c>
      <c r="Q28" s="358">
        <f t="shared" si="15"/>
        <v>0</v>
      </c>
      <c r="R28" s="353">
        <f t="shared" si="16"/>
        <v>0</v>
      </c>
      <c r="S28" s="359">
        <f t="shared" si="17"/>
        <v>0</v>
      </c>
      <c r="T28" s="360">
        <f t="shared" si="18"/>
        <v>0</v>
      </c>
      <c r="U28" s="361">
        <f t="shared" si="19"/>
        <v>0</v>
      </c>
      <c r="V28" s="362">
        <f t="shared" si="20"/>
        <v>0</v>
      </c>
      <c r="W28" s="363">
        <f t="shared" si="21"/>
        <v>0</v>
      </c>
    </row>
    <row r="29" spans="1:23" s="278" customFormat="1" ht="19.5" customHeight="1">
      <c r="A29" s="351">
        <f>IF(ROW()-3&lt;=MAX(Résultats!$A:$A),ROW()-3,"")</f>
        <v>0</v>
      </c>
      <c r="B29" s="352">
        <f t="shared" si="0"/>
        <v>0</v>
      </c>
      <c r="C29" s="353">
        <f t="shared" si="1"/>
        <v>0</v>
      </c>
      <c r="D29" s="354">
        <f t="shared" si="2"/>
        <v>0</v>
      </c>
      <c r="E29" s="355">
        <f t="shared" si="3"/>
        <v>0</v>
      </c>
      <c r="F29" s="354">
        <f t="shared" si="4"/>
        <v>0</v>
      </c>
      <c r="G29" s="354">
        <f t="shared" si="5"/>
        <v>0</v>
      </c>
      <c r="H29" s="354">
        <f t="shared" si="6"/>
        <v>0</v>
      </c>
      <c r="I29" s="354">
        <f t="shared" si="7"/>
        <v>0</v>
      </c>
      <c r="J29" s="354">
        <f t="shared" si="8"/>
        <v>0</v>
      </c>
      <c r="K29" s="356">
        <f t="shared" si="9"/>
        <v>0</v>
      </c>
      <c r="L29" s="356">
        <f t="shared" si="10"/>
        <v>0</v>
      </c>
      <c r="M29" s="356">
        <f t="shared" si="11"/>
        <v>0</v>
      </c>
      <c r="N29" s="357">
        <f t="shared" si="12"/>
        <v>0</v>
      </c>
      <c r="O29" s="358">
        <f t="shared" si="13"/>
        <v>0</v>
      </c>
      <c r="P29" s="358">
        <f t="shared" si="14"/>
        <v>0</v>
      </c>
      <c r="Q29" s="358">
        <f t="shared" si="15"/>
        <v>0</v>
      </c>
      <c r="R29" s="353">
        <f t="shared" si="16"/>
        <v>0</v>
      </c>
      <c r="S29" s="359">
        <f t="shared" si="17"/>
        <v>0</v>
      </c>
      <c r="T29" s="360">
        <f t="shared" si="18"/>
        <v>0</v>
      </c>
      <c r="U29" s="361">
        <f t="shared" si="19"/>
        <v>0</v>
      </c>
      <c r="V29" s="362">
        <f t="shared" si="20"/>
        <v>0</v>
      </c>
      <c r="W29" s="363">
        <f t="shared" si="21"/>
        <v>0</v>
      </c>
    </row>
    <row r="30" spans="1:23" s="278" customFormat="1" ht="19.5" customHeight="1">
      <c r="A30" s="351">
        <f>IF(ROW()-3&lt;=MAX(Résultats!$A:$A),ROW()-3,"")</f>
        <v>0</v>
      </c>
      <c r="B30" s="352">
        <f t="shared" si="0"/>
        <v>0</v>
      </c>
      <c r="C30" s="353">
        <f t="shared" si="1"/>
        <v>0</v>
      </c>
      <c r="D30" s="354">
        <f t="shared" si="2"/>
        <v>0</v>
      </c>
      <c r="E30" s="355">
        <f t="shared" si="3"/>
        <v>0</v>
      </c>
      <c r="F30" s="354">
        <f t="shared" si="4"/>
        <v>0</v>
      </c>
      <c r="G30" s="354">
        <f t="shared" si="5"/>
        <v>0</v>
      </c>
      <c r="H30" s="354">
        <f t="shared" si="6"/>
        <v>0</v>
      </c>
      <c r="I30" s="354">
        <f t="shared" si="7"/>
        <v>0</v>
      </c>
      <c r="J30" s="354">
        <f t="shared" si="8"/>
        <v>0</v>
      </c>
      <c r="K30" s="356">
        <f t="shared" si="9"/>
        <v>0</v>
      </c>
      <c r="L30" s="356">
        <f t="shared" si="10"/>
        <v>0</v>
      </c>
      <c r="M30" s="356">
        <f t="shared" si="11"/>
        <v>0</v>
      </c>
      <c r="N30" s="357">
        <f t="shared" si="12"/>
        <v>0</v>
      </c>
      <c r="O30" s="358">
        <f t="shared" si="13"/>
        <v>0</v>
      </c>
      <c r="P30" s="358">
        <f t="shared" si="14"/>
        <v>0</v>
      </c>
      <c r="Q30" s="358">
        <f t="shared" si="15"/>
        <v>0</v>
      </c>
      <c r="R30" s="353">
        <f t="shared" si="16"/>
        <v>0</v>
      </c>
      <c r="S30" s="359">
        <f t="shared" si="17"/>
        <v>0</v>
      </c>
      <c r="T30" s="360">
        <f t="shared" si="18"/>
        <v>0</v>
      </c>
      <c r="U30" s="361">
        <f t="shared" si="19"/>
        <v>0</v>
      </c>
      <c r="V30" s="362">
        <f t="shared" si="20"/>
        <v>0</v>
      </c>
      <c r="W30" s="363">
        <f t="shared" si="21"/>
        <v>0</v>
      </c>
    </row>
    <row r="31" spans="1:23" s="278" customFormat="1" ht="19.5" customHeight="1">
      <c r="A31" s="351">
        <f>IF(ROW()-3&lt;=MAX(Résultats!$A:$A),ROW()-3,"")</f>
        <v>0</v>
      </c>
      <c r="B31" s="352">
        <f t="shared" si="0"/>
        <v>0</v>
      </c>
      <c r="C31" s="353">
        <f t="shared" si="1"/>
        <v>0</v>
      </c>
      <c r="D31" s="354">
        <f t="shared" si="2"/>
        <v>0</v>
      </c>
      <c r="E31" s="355">
        <f t="shared" si="3"/>
        <v>0</v>
      </c>
      <c r="F31" s="354">
        <f t="shared" si="4"/>
        <v>0</v>
      </c>
      <c r="G31" s="354">
        <f t="shared" si="5"/>
        <v>0</v>
      </c>
      <c r="H31" s="354">
        <f t="shared" si="6"/>
        <v>0</v>
      </c>
      <c r="I31" s="354">
        <f t="shared" si="7"/>
        <v>0</v>
      </c>
      <c r="J31" s="354">
        <f t="shared" si="8"/>
        <v>0</v>
      </c>
      <c r="K31" s="356">
        <f t="shared" si="9"/>
        <v>0</v>
      </c>
      <c r="L31" s="356">
        <f t="shared" si="10"/>
        <v>0</v>
      </c>
      <c r="M31" s="356">
        <f t="shared" si="11"/>
        <v>0</v>
      </c>
      <c r="N31" s="357">
        <f t="shared" si="12"/>
        <v>0</v>
      </c>
      <c r="O31" s="358">
        <f t="shared" si="13"/>
        <v>0</v>
      </c>
      <c r="P31" s="358">
        <f t="shared" si="14"/>
        <v>0</v>
      </c>
      <c r="Q31" s="358">
        <f t="shared" si="15"/>
        <v>0</v>
      </c>
      <c r="R31" s="353">
        <f t="shared" si="16"/>
        <v>0</v>
      </c>
      <c r="S31" s="359">
        <f t="shared" si="17"/>
        <v>0</v>
      </c>
      <c r="T31" s="360">
        <f t="shared" si="18"/>
        <v>0</v>
      </c>
      <c r="U31" s="361">
        <f t="shared" si="19"/>
        <v>0</v>
      </c>
      <c r="V31" s="362">
        <f t="shared" si="20"/>
        <v>0</v>
      </c>
      <c r="W31" s="363">
        <f t="shared" si="21"/>
        <v>0</v>
      </c>
    </row>
    <row r="32" spans="1:23" s="278" customFormat="1" ht="19.5" customHeight="1">
      <c r="A32" s="351">
        <f>IF(ROW()-3&lt;=MAX(Résultats!$A:$A),ROW()-3,"")</f>
        <v>0</v>
      </c>
      <c r="B32" s="352">
        <f t="shared" si="0"/>
        <v>0</v>
      </c>
      <c r="C32" s="353">
        <f t="shared" si="1"/>
        <v>0</v>
      </c>
      <c r="D32" s="354">
        <f t="shared" si="2"/>
        <v>0</v>
      </c>
      <c r="E32" s="355">
        <f t="shared" si="3"/>
        <v>0</v>
      </c>
      <c r="F32" s="354">
        <f t="shared" si="4"/>
        <v>0</v>
      </c>
      <c r="G32" s="354">
        <f t="shared" si="5"/>
        <v>0</v>
      </c>
      <c r="H32" s="354">
        <f t="shared" si="6"/>
        <v>0</v>
      </c>
      <c r="I32" s="354">
        <f t="shared" si="7"/>
        <v>0</v>
      </c>
      <c r="J32" s="354">
        <f t="shared" si="8"/>
        <v>0</v>
      </c>
      <c r="K32" s="356">
        <f t="shared" si="9"/>
        <v>0</v>
      </c>
      <c r="L32" s="356">
        <f t="shared" si="10"/>
        <v>0</v>
      </c>
      <c r="M32" s="356">
        <f t="shared" si="11"/>
        <v>0</v>
      </c>
      <c r="N32" s="357">
        <f t="shared" si="12"/>
        <v>0</v>
      </c>
      <c r="O32" s="358">
        <f t="shared" si="13"/>
        <v>0</v>
      </c>
      <c r="P32" s="358">
        <f t="shared" si="14"/>
        <v>0</v>
      </c>
      <c r="Q32" s="358">
        <f t="shared" si="15"/>
        <v>0</v>
      </c>
      <c r="R32" s="353">
        <f t="shared" si="16"/>
        <v>0</v>
      </c>
      <c r="S32" s="359">
        <f t="shared" si="17"/>
        <v>0</v>
      </c>
      <c r="T32" s="360">
        <f t="shared" si="18"/>
        <v>0</v>
      </c>
      <c r="U32" s="361">
        <f t="shared" si="19"/>
        <v>0</v>
      </c>
      <c r="V32" s="362">
        <f t="shared" si="20"/>
        <v>0</v>
      </c>
      <c r="W32" s="363">
        <f t="shared" si="21"/>
        <v>0</v>
      </c>
    </row>
    <row r="33" spans="1:23" s="278" customFormat="1" ht="19.5" customHeight="1">
      <c r="A33" s="351">
        <f>IF(ROW()-3&lt;=MAX(Résultats!$A:$A),ROW()-3,"")</f>
        <v>0</v>
      </c>
      <c r="B33" s="352">
        <f t="shared" si="0"/>
        <v>0</v>
      </c>
      <c r="C33" s="353">
        <f t="shared" si="1"/>
        <v>0</v>
      </c>
      <c r="D33" s="354">
        <f t="shared" si="2"/>
        <v>0</v>
      </c>
      <c r="E33" s="355">
        <f t="shared" si="3"/>
        <v>0</v>
      </c>
      <c r="F33" s="354">
        <f t="shared" si="4"/>
        <v>0</v>
      </c>
      <c r="G33" s="354">
        <f t="shared" si="5"/>
        <v>0</v>
      </c>
      <c r="H33" s="354">
        <f t="shared" si="6"/>
        <v>0</v>
      </c>
      <c r="I33" s="354">
        <f t="shared" si="7"/>
        <v>0</v>
      </c>
      <c r="J33" s="354">
        <f t="shared" si="8"/>
        <v>0</v>
      </c>
      <c r="K33" s="356">
        <f t="shared" si="9"/>
        <v>0</v>
      </c>
      <c r="L33" s="356">
        <f t="shared" si="10"/>
        <v>0</v>
      </c>
      <c r="M33" s="356">
        <f t="shared" si="11"/>
        <v>0</v>
      </c>
      <c r="N33" s="357">
        <f t="shared" si="12"/>
        <v>0</v>
      </c>
      <c r="O33" s="358">
        <f t="shared" si="13"/>
        <v>0</v>
      </c>
      <c r="P33" s="358">
        <f t="shared" si="14"/>
        <v>0</v>
      </c>
      <c r="Q33" s="358">
        <f t="shared" si="15"/>
        <v>0</v>
      </c>
      <c r="R33" s="353">
        <f t="shared" si="16"/>
        <v>0</v>
      </c>
      <c r="S33" s="359">
        <f t="shared" si="17"/>
        <v>0</v>
      </c>
      <c r="T33" s="360">
        <f t="shared" si="18"/>
        <v>0</v>
      </c>
      <c r="U33" s="361">
        <f t="shared" si="19"/>
        <v>0</v>
      </c>
      <c r="V33" s="362">
        <f t="shared" si="20"/>
        <v>0</v>
      </c>
      <c r="W33" s="363">
        <f t="shared" si="21"/>
        <v>0</v>
      </c>
    </row>
    <row r="34" spans="1:23" s="278" customFormat="1" ht="19.5" customHeight="1">
      <c r="A34" s="351">
        <f>IF(ROW()-3&lt;=MAX(Résultats!$A:$A),ROW()-3,"")</f>
        <v>0</v>
      </c>
      <c r="B34" s="352">
        <f t="shared" si="0"/>
        <v>0</v>
      </c>
      <c r="C34" s="353">
        <f t="shared" si="1"/>
        <v>0</v>
      </c>
      <c r="D34" s="354">
        <f t="shared" si="2"/>
        <v>0</v>
      </c>
      <c r="E34" s="355">
        <f t="shared" si="3"/>
        <v>0</v>
      </c>
      <c r="F34" s="354">
        <f t="shared" si="4"/>
        <v>0</v>
      </c>
      <c r="G34" s="354">
        <f t="shared" si="5"/>
        <v>0</v>
      </c>
      <c r="H34" s="354">
        <f t="shared" si="6"/>
        <v>0</v>
      </c>
      <c r="I34" s="354">
        <f t="shared" si="7"/>
        <v>0</v>
      </c>
      <c r="J34" s="354">
        <f t="shared" si="8"/>
        <v>0</v>
      </c>
      <c r="K34" s="356">
        <f t="shared" si="9"/>
        <v>0</v>
      </c>
      <c r="L34" s="356">
        <f t="shared" si="10"/>
        <v>0</v>
      </c>
      <c r="M34" s="356">
        <f t="shared" si="11"/>
        <v>0</v>
      </c>
      <c r="N34" s="357">
        <f t="shared" si="12"/>
        <v>0</v>
      </c>
      <c r="O34" s="358">
        <f t="shared" si="13"/>
        <v>0</v>
      </c>
      <c r="P34" s="358">
        <f t="shared" si="14"/>
        <v>0</v>
      </c>
      <c r="Q34" s="358">
        <f t="shared" si="15"/>
        <v>0</v>
      </c>
      <c r="R34" s="353">
        <f t="shared" si="16"/>
        <v>0</v>
      </c>
      <c r="S34" s="359">
        <f t="shared" si="17"/>
        <v>0</v>
      </c>
      <c r="T34" s="360">
        <f t="shared" si="18"/>
        <v>0</v>
      </c>
      <c r="U34" s="361">
        <f t="shared" si="19"/>
        <v>0</v>
      </c>
      <c r="V34" s="362">
        <f t="shared" si="20"/>
        <v>0</v>
      </c>
      <c r="W34" s="363">
        <f t="shared" si="21"/>
        <v>0</v>
      </c>
    </row>
    <row r="35" spans="1:23" s="278" customFormat="1" ht="19.5" customHeight="1">
      <c r="A35" s="351">
        <f>IF(ROW()-3&lt;=MAX(Résultats!$A:$A),ROW()-3,"")</f>
        <v>0</v>
      </c>
      <c r="B35" s="352">
        <f t="shared" si="0"/>
        <v>0</v>
      </c>
      <c r="C35" s="353">
        <f t="shared" si="1"/>
        <v>0</v>
      </c>
      <c r="D35" s="354">
        <f t="shared" si="2"/>
        <v>0</v>
      </c>
      <c r="E35" s="355">
        <f t="shared" si="3"/>
        <v>0</v>
      </c>
      <c r="F35" s="354">
        <f t="shared" si="4"/>
        <v>0</v>
      </c>
      <c r="G35" s="354">
        <f t="shared" si="5"/>
        <v>0</v>
      </c>
      <c r="H35" s="354">
        <f t="shared" si="6"/>
        <v>0</v>
      </c>
      <c r="I35" s="354">
        <f t="shared" si="7"/>
        <v>0</v>
      </c>
      <c r="J35" s="354">
        <f t="shared" si="8"/>
        <v>0</v>
      </c>
      <c r="K35" s="356">
        <f t="shared" si="9"/>
        <v>0</v>
      </c>
      <c r="L35" s="356">
        <f t="shared" si="10"/>
        <v>0</v>
      </c>
      <c r="M35" s="356">
        <f t="shared" si="11"/>
        <v>0</v>
      </c>
      <c r="N35" s="357">
        <f t="shared" si="12"/>
        <v>0</v>
      </c>
      <c r="O35" s="358">
        <f t="shared" si="13"/>
        <v>0</v>
      </c>
      <c r="P35" s="358">
        <f t="shared" si="14"/>
        <v>0</v>
      </c>
      <c r="Q35" s="358">
        <f t="shared" si="15"/>
        <v>0</v>
      </c>
      <c r="R35" s="353">
        <f t="shared" si="16"/>
        <v>0</v>
      </c>
      <c r="S35" s="359">
        <f t="shared" si="17"/>
        <v>0</v>
      </c>
      <c r="T35" s="360">
        <f t="shared" si="18"/>
        <v>0</v>
      </c>
      <c r="U35" s="361">
        <f t="shared" si="19"/>
        <v>0</v>
      </c>
      <c r="V35" s="362">
        <f t="shared" si="20"/>
        <v>0</v>
      </c>
      <c r="W35" s="363">
        <f t="shared" si="21"/>
        <v>0</v>
      </c>
    </row>
    <row r="36" spans="1:23" s="278" customFormat="1" ht="19.5" customHeight="1">
      <c r="A36" s="351">
        <f>IF(ROW()-3&lt;=MAX(Résultats!$A:$A),ROW()-3,"")</f>
        <v>0</v>
      </c>
      <c r="B36" s="352">
        <f t="shared" si="0"/>
        <v>0</v>
      </c>
      <c r="C36" s="353">
        <f t="shared" si="1"/>
        <v>0</v>
      </c>
      <c r="D36" s="354">
        <f t="shared" si="2"/>
        <v>0</v>
      </c>
      <c r="E36" s="355">
        <f t="shared" si="3"/>
        <v>0</v>
      </c>
      <c r="F36" s="354">
        <f t="shared" si="4"/>
        <v>0</v>
      </c>
      <c r="G36" s="354">
        <f t="shared" si="5"/>
        <v>0</v>
      </c>
      <c r="H36" s="354">
        <f t="shared" si="6"/>
        <v>0</v>
      </c>
      <c r="I36" s="354">
        <f t="shared" si="7"/>
        <v>0</v>
      </c>
      <c r="J36" s="354">
        <f t="shared" si="8"/>
        <v>0</v>
      </c>
      <c r="K36" s="356">
        <f t="shared" si="9"/>
        <v>0</v>
      </c>
      <c r="L36" s="356">
        <f t="shared" si="10"/>
        <v>0</v>
      </c>
      <c r="M36" s="356">
        <f t="shared" si="11"/>
        <v>0</v>
      </c>
      <c r="N36" s="357">
        <f t="shared" si="12"/>
        <v>0</v>
      </c>
      <c r="O36" s="358">
        <f t="shared" si="13"/>
        <v>0</v>
      </c>
      <c r="P36" s="358">
        <f t="shared" si="14"/>
        <v>0</v>
      </c>
      <c r="Q36" s="358">
        <f t="shared" si="15"/>
        <v>0</v>
      </c>
      <c r="R36" s="353">
        <f t="shared" si="16"/>
        <v>0</v>
      </c>
      <c r="S36" s="359">
        <f t="shared" si="17"/>
        <v>0</v>
      </c>
      <c r="T36" s="360">
        <f t="shared" si="18"/>
        <v>0</v>
      </c>
      <c r="U36" s="361">
        <f t="shared" si="19"/>
        <v>0</v>
      </c>
      <c r="V36" s="362">
        <f t="shared" si="20"/>
        <v>0</v>
      </c>
      <c r="W36" s="363">
        <f t="shared" si="21"/>
        <v>0</v>
      </c>
    </row>
    <row r="37" spans="1:23" s="278" customFormat="1" ht="19.5" customHeight="1">
      <c r="A37" s="351">
        <f>IF(ROW()-3&lt;=MAX(Résultats!$A:$A),ROW()-3,"")</f>
        <v>0</v>
      </c>
      <c r="B37" s="352">
        <f t="shared" si="0"/>
        <v>0</v>
      </c>
      <c r="C37" s="353">
        <f t="shared" si="1"/>
        <v>0</v>
      </c>
      <c r="D37" s="354">
        <f t="shared" si="2"/>
        <v>0</v>
      </c>
      <c r="E37" s="355">
        <f t="shared" si="3"/>
        <v>0</v>
      </c>
      <c r="F37" s="354">
        <f t="shared" si="4"/>
        <v>0</v>
      </c>
      <c r="G37" s="354">
        <f t="shared" si="5"/>
        <v>0</v>
      </c>
      <c r="H37" s="354">
        <f t="shared" si="6"/>
        <v>0</v>
      </c>
      <c r="I37" s="354">
        <f t="shared" si="7"/>
        <v>0</v>
      </c>
      <c r="J37" s="354">
        <f t="shared" si="8"/>
        <v>0</v>
      </c>
      <c r="K37" s="356">
        <f t="shared" si="9"/>
        <v>0</v>
      </c>
      <c r="L37" s="356">
        <f t="shared" si="10"/>
        <v>0</v>
      </c>
      <c r="M37" s="356">
        <f t="shared" si="11"/>
        <v>0</v>
      </c>
      <c r="N37" s="357">
        <f t="shared" si="12"/>
        <v>0</v>
      </c>
      <c r="O37" s="358">
        <f t="shared" si="13"/>
        <v>0</v>
      </c>
      <c r="P37" s="358">
        <f t="shared" si="14"/>
        <v>0</v>
      </c>
      <c r="Q37" s="358">
        <f t="shared" si="15"/>
        <v>0</v>
      </c>
      <c r="R37" s="353">
        <f t="shared" si="16"/>
        <v>0</v>
      </c>
      <c r="S37" s="359">
        <f t="shared" si="17"/>
        <v>0</v>
      </c>
      <c r="T37" s="360">
        <f t="shared" si="18"/>
        <v>0</v>
      </c>
      <c r="U37" s="361">
        <f t="shared" si="19"/>
        <v>0</v>
      </c>
      <c r="V37" s="362">
        <f t="shared" si="20"/>
        <v>0</v>
      </c>
      <c r="W37" s="363">
        <f t="shared" si="21"/>
        <v>0</v>
      </c>
    </row>
    <row r="38" spans="1:23" s="278" customFormat="1" ht="19.5" customHeight="1">
      <c r="A38" s="351">
        <f>IF(ROW()-3&lt;=MAX(Résultats!$A:$A),ROW()-3,"")</f>
        <v>0</v>
      </c>
      <c r="B38" s="352">
        <f t="shared" si="0"/>
        <v>0</v>
      </c>
      <c r="C38" s="353">
        <f t="shared" si="1"/>
        <v>0</v>
      </c>
      <c r="D38" s="354">
        <f t="shared" si="2"/>
        <v>0</v>
      </c>
      <c r="E38" s="355">
        <f t="shared" si="3"/>
        <v>0</v>
      </c>
      <c r="F38" s="354">
        <f t="shared" si="4"/>
        <v>0</v>
      </c>
      <c r="G38" s="354">
        <f t="shared" si="5"/>
        <v>0</v>
      </c>
      <c r="H38" s="354">
        <f t="shared" si="6"/>
        <v>0</v>
      </c>
      <c r="I38" s="354">
        <f t="shared" si="7"/>
        <v>0</v>
      </c>
      <c r="J38" s="354">
        <f t="shared" si="8"/>
        <v>0</v>
      </c>
      <c r="K38" s="356">
        <f t="shared" si="9"/>
        <v>0</v>
      </c>
      <c r="L38" s="356">
        <f t="shared" si="10"/>
        <v>0</v>
      </c>
      <c r="M38" s="356">
        <f t="shared" si="11"/>
        <v>0</v>
      </c>
      <c r="N38" s="357">
        <f t="shared" si="12"/>
        <v>0</v>
      </c>
      <c r="O38" s="358">
        <f t="shared" si="13"/>
        <v>0</v>
      </c>
      <c r="P38" s="358">
        <f t="shared" si="14"/>
        <v>0</v>
      </c>
      <c r="Q38" s="358">
        <f t="shared" si="15"/>
        <v>0</v>
      </c>
      <c r="R38" s="353">
        <f t="shared" si="16"/>
        <v>0</v>
      </c>
      <c r="S38" s="359">
        <f t="shared" si="17"/>
        <v>0</v>
      </c>
      <c r="T38" s="360">
        <f t="shared" si="18"/>
        <v>0</v>
      </c>
      <c r="U38" s="361">
        <f t="shared" si="19"/>
        <v>0</v>
      </c>
      <c r="V38" s="362">
        <f t="shared" si="20"/>
        <v>0</v>
      </c>
      <c r="W38" s="363">
        <f t="shared" si="21"/>
        <v>0</v>
      </c>
    </row>
    <row r="39" spans="1:23" s="278" customFormat="1" ht="19.5" customHeight="1">
      <c r="A39" s="351">
        <f>IF(ROW()-3&lt;=MAX(Résultats!$A:$A),ROW()-3,"")</f>
        <v>0</v>
      </c>
      <c r="B39" s="352">
        <f t="shared" si="0"/>
        <v>0</v>
      </c>
      <c r="C39" s="353">
        <f t="shared" si="1"/>
        <v>0</v>
      </c>
      <c r="D39" s="354">
        <f t="shared" si="2"/>
        <v>0</v>
      </c>
      <c r="E39" s="355">
        <f t="shared" si="3"/>
        <v>0</v>
      </c>
      <c r="F39" s="354">
        <f t="shared" si="4"/>
        <v>0</v>
      </c>
      <c r="G39" s="354">
        <f t="shared" si="5"/>
        <v>0</v>
      </c>
      <c r="H39" s="354">
        <f t="shared" si="6"/>
        <v>0</v>
      </c>
      <c r="I39" s="354">
        <f t="shared" si="7"/>
        <v>0</v>
      </c>
      <c r="J39" s="354">
        <f t="shared" si="8"/>
        <v>0</v>
      </c>
      <c r="K39" s="356">
        <f t="shared" si="9"/>
        <v>0</v>
      </c>
      <c r="L39" s="356">
        <f t="shared" si="10"/>
        <v>0</v>
      </c>
      <c r="M39" s="356">
        <f t="shared" si="11"/>
        <v>0</v>
      </c>
      <c r="N39" s="357">
        <f t="shared" si="12"/>
        <v>0</v>
      </c>
      <c r="O39" s="358">
        <f t="shared" si="13"/>
        <v>0</v>
      </c>
      <c r="P39" s="358">
        <f t="shared" si="14"/>
        <v>0</v>
      </c>
      <c r="Q39" s="358">
        <f t="shared" si="15"/>
        <v>0</v>
      </c>
      <c r="R39" s="353">
        <f t="shared" si="16"/>
        <v>0</v>
      </c>
      <c r="S39" s="359">
        <f t="shared" si="17"/>
        <v>0</v>
      </c>
      <c r="T39" s="360">
        <f t="shared" si="18"/>
        <v>0</v>
      </c>
      <c r="U39" s="361">
        <f t="shared" si="19"/>
        <v>0</v>
      </c>
      <c r="V39" s="362">
        <f t="shared" si="20"/>
        <v>0</v>
      </c>
      <c r="W39" s="363">
        <f t="shared" si="21"/>
        <v>0</v>
      </c>
    </row>
    <row r="40" spans="1:23" s="278" customFormat="1" ht="19.5" customHeight="1">
      <c r="A40" s="351">
        <f>IF(ROW()-3&lt;=MAX(Résultats!$A:$A),ROW()-3,"")</f>
        <v>0</v>
      </c>
      <c r="B40" s="352">
        <f t="shared" si="0"/>
        <v>0</v>
      </c>
      <c r="C40" s="353">
        <f t="shared" si="1"/>
        <v>0</v>
      </c>
      <c r="D40" s="354">
        <f t="shared" si="2"/>
        <v>0</v>
      </c>
      <c r="E40" s="355">
        <f t="shared" si="3"/>
        <v>0</v>
      </c>
      <c r="F40" s="354">
        <f t="shared" si="4"/>
        <v>0</v>
      </c>
      <c r="G40" s="354">
        <f t="shared" si="5"/>
        <v>0</v>
      </c>
      <c r="H40" s="354">
        <f t="shared" si="6"/>
        <v>0</v>
      </c>
      <c r="I40" s="354">
        <f t="shared" si="7"/>
        <v>0</v>
      </c>
      <c r="J40" s="354">
        <f t="shared" si="8"/>
        <v>0</v>
      </c>
      <c r="K40" s="356">
        <f t="shared" si="9"/>
        <v>0</v>
      </c>
      <c r="L40" s="356">
        <f t="shared" si="10"/>
        <v>0</v>
      </c>
      <c r="M40" s="356">
        <f t="shared" si="11"/>
        <v>0</v>
      </c>
      <c r="N40" s="357">
        <f t="shared" si="12"/>
        <v>0</v>
      </c>
      <c r="O40" s="358">
        <f t="shared" si="13"/>
        <v>0</v>
      </c>
      <c r="P40" s="358">
        <f t="shared" si="14"/>
        <v>0</v>
      </c>
      <c r="Q40" s="358">
        <f t="shared" si="15"/>
        <v>0</v>
      </c>
      <c r="R40" s="353">
        <f t="shared" si="16"/>
        <v>0</v>
      </c>
      <c r="S40" s="359">
        <f t="shared" si="17"/>
        <v>0</v>
      </c>
      <c r="T40" s="360">
        <f t="shared" si="18"/>
        <v>0</v>
      </c>
      <c r="U40" s="361">
        <f t="shared" si="19"/>
        <v>0</v>
      </c>
      <c r="V40" s="362">
        <f t="shared" si="20"/>
        <v>0</v>
      </c>
      <c r="W40" s="363">
        <f t="shared" si="21"/>
        <v>0</v>
      </c>
    </row>
    <row r="41" spans="1:23" s="278" customFormat="1" ht="19.5" customHeight="1">
      <c r="A41" s="351">
        <f>IF(ROW()-3&lt;=MAX(Résultats!$A:$A),ROW()-3,"")</f>
        <v>0</v>
      </c>
      <c r="B41" s="352">
        <f t="shared" si="0"/>
        <v>0</v>
      </c>
      <c r="C41" s="353">
        <f t="shared" si="1"/>
        <v>0</v>
      </c>
      <c r="D41" s="354">
        <f t="shared" si="2"/>
        <v>0</v>
      </c>
      <c r="E41" s="355">
        <f t="shared" si="3"/>
        <v>0</v>
      </c>
      <c r="F41" s="354">
        <f t="shared" si="4"/>
        <v>0</v>
      </c>
      <c r="G41" s="354">
        <f t="shared" si="5"/>
        <v>0</v>
      </c>
      <c r="H41" s="354">
        <f t="shared" si="6"/>
        <v>0</v>
      </c>
      <c r="I41" s="354">
        <f t="shared" si="7"/>
        <v>0</v>
      </c>
      <c r="J41" s="354">
        <f t="shared" si="8"/>
        <v>0</v>
      </c>
      <c r="K41" s="356">
        <f t="shared" si="9"/>
        <v>0</v>
      </c>
      <c r="L41" s="356">
        <f t="shared" si="10"/>
        <v>0</v>
      </c>
      <c r="M41" s="356">
        <f t="shared" si="11"/>
        <v>0</v>
      </c>
      <c r="N41" s="357">
        <f t="shared" si="12"/>
        <v>0</v>
      </c>
      <c r="O41" s="358">
        <f t="shared" si="13"/>
        <v>0</v>
      </c>
      <c r="P41" s="358">
        <f t="shared" si="14"/>
        <v>0</v>
      </c>
      <c r="Q41" s="358">
        <f t="shared" si="15"/>
        <v>0</v>
      </c>
      <c r="R41" s="353">
        <f t="shared" si="16"/>
        <v>0</v>
      </c>
      <c r="S41" s="359">
        <f t="shared" si="17"/>
        <v>0</v>
      </c>
      <c r="T41" s="360">
        <f t="shared" si="18"/>
        <v>0</v>
      </c>
      <c r="U41" s="361">
        <f t="shared" si="19"/>
        <v>0</v>
      </c>
      <c r="V41" s="362">
        <f t="shared" si="20"/>
        <v>0</v>
      </c>
      <c r="W41" s="363">
        <f t="shared" si="21"/>
        <v>0</v>
      </c>
    </row>
    <row r="42" spans="1:23" s="278" customFormat="1" ht="19.5" customHeight="1">
      <c r="A42" s="351">
        <f>IF(ROW()-3&lt;=MAX(Résultats!$A:$A),ROW()-3,"")</f>
        <v>0</v>
      </c>
      <c r="B42" s="352">
        <f t="shared" si="0"/>
        <v>0</v>
      </c>
      <c r="C42" s="353">
        <f t="shared" si="1"/>
        <v>0</v>
      </c>
      <c r="D42" s="354">
        <f t="shared" si="2"/>
        <v>0</v>
      </c>
      <c r="E42" s="355">
        <f t="shared" si="3"/>
        <v>0</v>
      </c>
      <c r="F42" s="354">
        <f t="shared" si="4"/>
        <v>0</v>
      </c>
      <c r="G42" s="354">
        <f t="shared" si="5"/>
        <v>0</v>
      </c>
      <c r="H42" s="354">
        <f t="shared" si="6"/>
        <v>0</v>
      </c>
      <c r="I42" s="354">
        <f t="shared" si="7"/>
        <v>0</v>
      </c>
      <c r="J42" s="354">
        <f t="shared" si="8"/>
        <v>0</v>
      </c>
      <c r="K42" s="356">
        <f t="shared" si="9"/>
        <v>0</v>
      </c>
      <c r="L42" s="356">
        <f t="shared" si="10"/>
        <v>0</v>
      </c>
      <c r="M42" s="356">
        <f t="shared" si="11"/>
        <v>0</v>
      </c>
      <c r="N42" s="357">
        <f t="shared" si="12"/>
        <v>0</v>
      </c>
      <c r="O42" s="358">
        <f t="shared" si="13"/>
        <v>0</v>
      </c>
      <c r="P42" s="358">
        <f t="shared" si="14"/>
        <v>0</v>
      </c>
      <c r="Q42" s="358">
        <f t="shared" si="15"/>
        <v>0</v>
      </c>
      <c r="R42" s="353">
        <f t="shared" si="16"/>
        <v>0</v>
      </c>
      <c r="S42" s="359">
        <f t="shared" si="17"/>
        <v>0</v>
      </c>
      <c r="T42" s="360">
        <f t="shared" si="18"/>
        <v>0</v>
      </c>
      <c r="U42" s="361">
        <f t="shared" si="19"/>
        <v>0</v>
      </c>
      <c r="V42" s="362">
        <f t="shared" si="20"/>
        <v>0</v>
      </c>
      <c r="W42" s="363">
        <f t="shared" si="21"/>
        <v>0</v>
      </c>
    </row>
    <row r="43" spans="1:23" s="278" customFormat="1" ht="19.5" customHeight="1">
      <c r="A43" s="351">
        <f>IF(ROW()-3&lt;=MAX(Résultats!$A:$A),ROW()-3,"")</f>
        <v>0</v>
      </c>
      <c r="B43" s="352">
        <f t="shared" si="0"/>
        <v>0</v>
      </c>
      <c r="C43" s="353">
        <f t="shared" si="1"/>
        <v>0</v>
      </c>
      <c r="D43" s="354">
        <f t="shared" si="2"/>
        <v>0</v>
      </c>
      <c r="E43" s="355">
        <f t="shared" si="3"/>
        <v>0</v>
      </c>
      <c r="F43" s="354">
        <f t="shared" si="4"/>
        <v>0</v>
      </c>
      <c r="G43" s="354">
        <f t="shared" si="5"/>
        <v>0</v>
      </c>
      <c r="H43" s="354">
        <f t="shared" si="6"/>
        <v>0</v>
      </c>
      <c r="I43" s="354">
        <f t="shared" si="7"/>
        <v>0</v>
      </c>
      <c r="J43" s="354">
        <f t="shared" si="8"/>
        <v>0</v>
      </c>
      <c r="K43" s="356">
        <f t="shared" si="9"/>
        <v>0</v>
      </c>
      <c r="L43" s="356">
        <f t="shared" si="10"/>
        <v>0</v>
      </c>
      <c r="M43" s="356">
        <f t="shared" si="11"/>
        <v>0</v>
      </c>
      <c r="N43" s="357">
        <f t="shared" si="12"/>
        <v>0</v>
      </c>
      <c r="O43" s="358">
        <f t="shared" si="13"/>
        <v>0</v>
      </c>
      <c r="P43" s="358">
        <f t="shared" si="14"/>
        <v>0</v>
      </c>
      <c r="Q43" s="358">
        <f t="shared" si="15"/>
        <v>0</v>
      </c>
      <c r="R43" s="353">
        <f t="shared" si="16"/>
        <v>0</v>
      </c>
      <c r="S43" s="359">
        <f t="shared" si="17"/>
        <v>0</v>
      </c>
      <c r="T43" s="360">
        <f t="shared" si="18"/>
        <v>0</v>
      </c>
      <c r="U43" s="361">
        <f t="shared" si="19"/>
        <v>0</v>
      </c>
      <c r="V43" s="362">
        <f t="shared" si="20"/>
        <v>0</v>
      </c>
      <c r="W43" s="363">
        <f t="shared" si="21"/>
        <v>0</v>
      </c>
    </row>
    <row r="44" spans="1:23" s="278" customFormat="1" ht="19.5" customHeight="1">
      <c r="A44" s="351">
        <f>IF(ROW()-3&lt;=MAX(Résultats!$A:$A),ROW()-3,"")</f>
        <v>0</v>
      </c>
      <c r="B44" s="352">
        <f t="shared" si="0"/>
        <v>0</v>
      </c>
      <c r="C44" s="353">
        <f t="shared" si="1"/>
        <v>0</v>
      </c>
      <c r="D44" s="354">
        <f t="shared" si="2"/>
        <v>0</v>
      </c>
      <c r="E44" s="355">
        <f t="shared" si="3"/>
        <v>0</v>
      </c>
      <c r="F44" s="354">
        <f t="shared" si="4"/>
        <v>0</v>
      </c>
      <c r="G44" s="354">
        <f t="shared" si="5"/>
        <v>0</v>
      </c>
      <c r="H44" s="354">
        <f t="shared" si="6"/>
        <v>0</v>
      </c>
      <c r="I44" s="354">
        <f t="shared" si="7"/>
        <v>0</v>
      </c>
      <c r="J44" s="354">
        <f t="shared" si="8"/>
        <v>0</v>
      </c>
      <c r="K44" s="356">
        <f t="shared" si="9"/>
        <v>0</v>
      </c>
      <c r="L44" s="356">
        <f t="shared" si="10"/>
        <v>0</v>
      </c>
      <c r="M44" s="356">
        <f t="shared" si="11"/>
        <v>0</v>
      </c>
      <c r="N44" s="357">
        <f t="shared" si="12"/>
        <v>0</v>
      </c>
      <c r="O44" s="358">
        <f t="shared" si="13"/>
        <v>0</v>
      </c>
      <c r="P44" s="358">
        <f t="shared" si="14"/>
        <v>0</v>
      </c>
      <c r="Q44" s="358">
        <f t="shared" si="15"/>
        <v>0</v>
      </c>
      <c r="R44" s="353">
        <f t="shared" si="16"/>
        <v>0</v>
      </c>
      <c r="S44" s="359">
        <f t="shared" si="17"/>
        <v>0</v>
      </c>
      <c r="T44" s="360">
        <f t="shared" si="18"/>
        <v>0</v>
      </c>
      <c r="U44" s="361">
        <f t="shared" si="19"/>
        <v>0</v>
      </c>
      <c r="V44" s="362">
        <f t="shared" si="20"/>
        <v>0</v>
      </c>
      <c r="W44" s="363">
        <f t="shared" si="21"/>
        <v>0</v>
      </c>
    </row>
    <row r="45" spans="1:23" s="278" customFormat="1" ht="19.5" customHeight="1">
      <c r="A45" s="351">
        <f>IF(ROW()-3&lt;=MAX(Résultats!$A:$A),ROW()-3,"")</f>
        <v>0</v>
      </c>
      <c r="B45" s="352">
        <f t="shared" si="0"/>
        <v>0</v>
      </c>
      <c r="C45" s="353">
        <f t="shared" si="1"/>
        <v>0</v>
      </c>
      <c r="D45" s="354">
        <f t="shared" si="2"/>
        <v>0</v>
      </c>
      <c r="E45" s="355">
        <f t="shared" si="3"/>
        <v>0</v>
      </c>
      <c r="F45" s="354">
        <f t="shared" si="4"/>
        <v>0</v>
      </c>
      <c r="G45" s="354">
        <f t="shared" si="5"/>
        <v>0</v>
      </c>
      <c r="H45" s="354">
        <f t="shared" si="6"/>
        <v>0</v>
      </c>
      <c r="I45" s="354">
        <f t="shared" si="7"/>
        <v>0</v>
      </c>
      <c r="J45" s="354">
        <f t="shared" si="8"/>
        <v>0</v>
      </c>
      <c r="K45" s="356">
        <f t="shared" si="9"/>
        <v>0</v>
      </c>
      <c r="L45" s="356">
        <f t="shared" si="10"/>
        <v>0</v>
      </c>
      <c r="M45" s="356">
        <f t="shared" si="11"/>
        <v>0</v>
      </c>
      <c r="N45" s="357">
        <f t="shared" si="12"/>
        <v>0</v>
      </c>
      <c r="O45" s="358">
        <f t="shared" si="13"/>
        <v>0</v>
      </c>
      <c r="P45" s="358">
        <f t="shared" si="14"/>
        <v>0</v>
      </c>
      <c r="Q45" s="358">
        <f t="shared" si="15"/>
        <v>0</v>
      </c>
      <c r="R45" s="353">
        <f t="shared" si="16"/>
        <v>0</v>
      </c>
      <c r="S45" s="359">
        <f t="shared" si="17"/>
        <v>0</v>
      </c>
      <c r="T45" s="360">
        <f t="shared" si="18"/>
        <v>0</v>
      </c>
      <c r="U45" s="361">
        <f t="shared" si="19"/>
        <v>0</v>
      </c>
      <c r="V45" s="362">
        <f t="shared" si="20"/>
        <v>0</v>
      </c>
      <c r="W45" s="363">
        <f t="shared" si="21"/>
        <v>0</v>
      </c>
    </row>
    <row r="46" spans="1:23" s="278" customFormat="1" ht="19.5" customHeight="1">
      <c r="A46" s="351">
        <f>IF(ROW()-3&lt;=MAX(Résultats!$A:$A),ROW()-3,"")</f>
        <v>0</v>
      </c>
      <c r="B46" s="352">
        <f t="shared" si="0"/>
        <v>0</v>
      </c>
      <c r="C46" s="353">
        <f t="shared" si="1"/>
        <v>0</v>
      </c>
      <c r="D46" s="354">
        <f t="shared" si="2"/>
        <v>0</v>
      </c>
      <c r="E46" s="355">
        <f t="shared" si="3"/>
        <v>0</v>
      </c>
      <c r="F46" s="354">
        <f t="shared" si="4"/>
        <v>0</v>
      </c>
      <c r="G46" s="354">
        <f t="shared" si="5"/>
        <v>0</v>
      </c>
      <c r="H46" s="354">
        <f t="shared" si="6"/>
        <v>0</v>
      </c>
      <c r="I46" s="354">
        <f t="shared" si="7"/>
        <v>0</v>
      </c>
      <c r="J46" s="354">
        <f t="shared" si="8"/>
        <v>0</v>
      </c>
      <c r="K46" s="356">
        <f t="shared" si="9"/>
        <v>0</v>
      </c>
      <c r="L46" s="356">
        <f t="shared" si="10"/>
        <v>0</v>
      </c>
      <c r="M46" s="356">
        <f t="shared" si="11"/>
        <v>0</v>
      </c>
      <c r="N46" s="357">
        <f t="shared" si="12"/>
        <v>0</v>
      </c>
      <c r="O46" s="358">
        <f t="shared" si="13"/>
        <v>0</v>
      </c>
      <c r="P46" s="358">
        <f t="shared" si="14"/>
        <v>0</v>
      </c>
      <c r="Q46" s="358">
        <f t="shared" si="15"/>
        <v>0</v>
      </c>
      <c r="R46" s="353">
        <f t="shared" si="16"/>
        <v>0</v>
      </c>
      <c r="S46" s="359">
        <f t="shared" si="17"/>
        <v>0</v>
      </c>
      <c r="T46" s="360">
        <f t="shared" si="18"/>
        <v>0</v>
      </c>
      <c r="U46" s="361">
        <f t="shared" si="19"/>
        <v>0</v>
      </c>
      <c r="V46" s="362">
        <f t="shared" si="20"/>
        <v>0</v>
      </c>
      <c r="W46" s="363">
        <f t="shared" si="21"/>
        <v>0</v>
      </c>
    </row>
    <row r="47" spans="1:23" s="278" customFormat="1" ht="19.5" customHeight="1">
      <c r="A47" s="351">
        <f>IF(ROW()-3&lt;=MAX(Résultats!$A:$A),ROW()-3,"")</f>
        <v>0</v>
      </c>
      <c r="B47" s="352">
        <f t="shared" si="0"/>
        <v>0</v>
      </c>
      <c r="C47" s="353">
        <f t="shared" si="1"/>
        <v>0</v>
      </c>
      <c r="D47" s="354">
        <f t="shared" si="2"/>
        <v>0</v>
      </c>
      <c r="E47" s="355">
        <f t="shared" si="3"/>
        <v>0</v>
      </c>
      <c r="F47" s="354">
        <f t="shared" si="4"/>
        <v>0</v>
      </c>
      <c r="G47" s="354">
        <f t="shared" si="5"/>
        <v>0</v>
      </c>
      <c r="H47" s="354">
        <f t="shared" si="6"/>
        <v>0</v>
      </c>
      <c r="I47" s="354">
        <f t="shared" si="7"/>
        <v>0</v>
      </c>
      <c r="J47" s="354">
        <f t="shared" si="8"/>
        <v>0</v>
      </c>
      <c r="K47" s="356">
        <f t="shared" si="9"/>
        <v>0</v>
      </c>
      <c r="L47" s="356">
        <f t="shared" si="10"/>
        <v>0</v>
      </c>
      <c r="M47" s="356">
        <f t="shared" si="11"/>
        <v>0</v>
      </c>
      <c r="N47" s="357">
        <f t="shared" si="12"/>
        <v>0</v>
      </c>
      <c r="O47" s="358">
        <f t="shared" si="13"/>
        <v>0</v>
      </c>
      <c r="P47" s="358">
        <f t="shared" si="14"/>
        <v>0</v>
      </c>
      <c r="Q47" s="358">
        <f t="shared" si="15"/>
        <v>0</v>
      </c>
      <c r="R47" s="353">
        <f t="shared" si="16"/>
        <v>0</v>
      </c>
      <c r="S47" s="359">
        <f t="shared" si="17"/>
        <v>0</v>
      </c>
      <c r="T47" s="360">
        <f t="shared" si="18"/>
        <v>0</v>
      </c>
      <c r="U47" s="361">
        <f t="shared" si="19"/>
        <v>0</v>
      </c>
      <c r="V47" s="362">
        <f t="shared" si="20"/>
        <v>0</v>
      </c>
      <c r="W47" s="363">
        <f t="shared" si="21"/>
        <v>0</v>
      </c>
    </row>
    <row r="48" spans="1:23" s="278" customFormat="1" ht="19.5" customHeight="1">
      <c r="A48" s="351">
        <f>IF(ROW()-3&lt;=MAX(Résultats!$A:$A),ROW()-3,"")</f>
        <v>0</v>
      </c>
      <c r="B48" s="352">
        <f t="shared" si="0"/>
        <v>0</v>
      </c>
      <c r="C48" s="353">
        <f t="shared" si="1"/>
        <v>0</v>
      </c>
      <c r="D48" s="354">
        <f t="shared" si="2"/>
        <v>0</v>
      </c>
      <c r="E48" s="355">
        <f t="shared" si="3"/>
        <v>0</v>
      </c>
      <c r="F48" s="354">
        <f t="shared" si="4"/>
        <v>0</v>
      </c>
      <c r="G48" s="354">
        <f t="shared" si="5"/>
        <v>0</v>
      </c>
      <c r="H48" s="354">
        <f t="shared" si="6"/>
        <v>0</v>
      </c>
      <c r="I48" s="354">
        <f t="shared" si="7"/>
        <v>0</v>
      </c>
      <c r="J48" s="354">
        <f t="shared" si="8"/>
        <v>0</v>
      </c>
      <c r="K48" s="356">
        <f t="shared" si="9"/>
        <v>0</v>
      </c>
      <c r="L48" s="356">
        <f t="shared" si="10"/>
        <v>0</v>
      </c>
      <c r="M48" s="356">
        <f t="shared" si="11"/>
        <v>0</v>
      </c>
      <c r="N48" s="357">
        <f t="shared" si="12"/>
        <v>0</v>
      </c>
      <c r="O48" s="358">
        <f t="shared" si="13"/>
        <v>0</v>
      </c>
      <c r="P48" s="358">
        <f t="shared" si="14"/>
        <v>0</v>
      </c>
      <c r="Q48" s="358">
        <f t="shared" si="15"/>
        <v>0</v>
      </c>
      <c r="R48" s="353">
        <f t="shared" si="16"/>
        <v>0</v>
      </c>
      <c r="S48" s="359">
        <f t="shared" si="17"/>
        <v>0</v>
      </c>
      <c r="T48" s="360">
        <f t="shared" si="18"/>
        <v>0</v>
      </c>
      <c r="U48" s="361">
        <f t="shared" si="19"/>
        <v>0</v>
      </c>
      <c r="V48" s="362">
        <f t="shared" si="20"/>
        <v>0</v>
      </c>
      <c r="W48" s="363">
        <f t="shared" si="21"/>
        <v>0</v>
      </c>
    </row>
    <row r="49" spans="1:23" s="278" customFormat="1" ht="19.5" customHeight="1">
      <c r="A49" s="351">
        <f>IF(ROW()-3&lt;=MAX(Résultats!$A:$A),ROW()-3,"")</f>
        <v>0</v>
      </c>
      <c r="B49" s="352">
        <f t="shared" si="0"/>
        <v>0</v>
      </c>
      <c r="C49" s="353">
        <f t="shared" si="1"/>
        <v>0</v>
      </c>
      <c r="D49" s="354">
        <f t="shared" si="2"/>
        <v>0</v>
      </c>
      <c r="E49" s="355">
        <f t="shared" si="3"/>
        <v>0</v>
      </c>
      <c r="F49" s="354">
        <f t="shared" si="4"/>
        <v>0</v>
      </c>
      <c r="G49" s="354">
        <f t="shared" si="5"/>
        <v>0</v>
      </c>
      <c r="H49" s="354">
        <f t="shared" si="6"/>
        <v>0</v>
      </c>
      <c r="I49" s="354">
        <f t="shared" si="7"/>
        <v>0</v>
      </c>
      <c r="J49" s="354">
        <f t="shared" si="8"/>
        <v>0</v>
      </c>
      <c r="K49" s="356">
        <f t="shared" si="9"/>
        <v>0</v>
      </c>
      <c r="L49" s="356">
        <f t="shared" si="10"/>
        <v>0</v>
      </c>
      <c r="M49" s="356">
        <f t="shared" si="11"/>
        <v>0</v>
      </c>
      <c r="N49" s="357">
        <f t="shared" si="12"/>
        <v>0</v>
      </c>
      <c r="O49" s="358">
        <f t="shared" si="13"/>
        <v>0</v>
      </c>
      <c r="P49" s="358">
        <f t="shared" si="14"/>
        <v>0</v>
      </c>
      <c r="Q49" s="358">
        <f t="shared" si="15"/>
        <v>0</v>
      </c>
      <c r="R49" s="353">
        <f t="shared" si="16"/>
        <v>0</v>
      </c>
      <c r="S49" s="359">
        <f t="shared" si="17"/>
        <v>0</v>
      </c>
      <c r="T49" s="360">
        <f t="shared" si="18"/>
        <v>0</v>
      </c>
      <c r="U49" s="361">
        <f t="shared" si="19"/>
        <v>0</v>
      </c>
      <c r="V49" s="362">
        <f t="shared" si="20"/>
        <v>0</v>
      </c>
      <c r="W49" s="363">
        <f t="shared" si="21"/>
        <v>0</v>
      </c>
    </row>
    <row r="50" spans="1:23" s="278" customFormat="1" ht="19.5" customHeight="1">
      <c r="A50" s="351">
        <f>IF(ROW()-3&lt;=MAX(Résultats!$A:$A),ROW()-3,"")</f>
        <v>0</v>
      </c>
      <c r="B50" s="352">
        <f t="shared" si="0"/>
        <v>0</v>
      </c>
      <c r="C50" s="353">
        <f t="shared" si="1"/>
        <v>0</v>
      </c>
      <c r="D50" s="354">
        <f t="shared" si="2"/>
        <v>0</v>
      </c>
      <c r="E50" s="355">
        <f t="shared" si="3"/>
        <v>0</v>
      </c>
      <c r="F50" s="354">
        <f t="shared" si="4"/>
        <v>0</v>
      </c>
      <c r="G50" s="354">
        <f t="shared" si="5"/>
        <v>0</v>
      </c>
      <c r="H50" s="354">
        <f t="shared" si="6"/>
        <v>0</v>
      </c>
      <c r="I50" s="354">
        <f t="shared" si="7"/>
        <v>0</v>
      </c>
      <c r="J50" s="354">
        <f t="shared" si="8"/>
        <v>0</v>
      </c>
      <c r="K50" s="356">
        <f t="shared" si="9"/>
        <v>0</v>
      </c>
      <c r="L50" s="356">
        <f t="shared" si="10"/>
        <v>0</v>
      </c>
      <c r="M50" s="356">
        <f t="shared" si="11"/>
        <v>0</v>
      </c>
      <c r="N50" s="357">
        <f t="shared" si="12"/>
        <v>0</v>
      </c>
      <c r="O50" s="358">
        <f t="shared" si="13"/>
        <v>0</v>
      </c>
      <c r="P50" s="358">
        <f t="shared" si="14"/>
        <v>0</v>
      </c>
      <c r="Q50" s="358">
        <f t="shared" si="15"/>
        <v>0</v>
      </c>
      <c r="R50" s="353">
        <f t="shared" si="16"/>
        <v>0</v>
      </c>
      <c r="S50" s="359">
        <f t="shared" si="17"/>
        <v>0</v>
      </c>
      <c r="T50" s="360">
        <f t="shared" si="18"/>
        <v>0</v>
      </c>
      <c r="U50" s="361">
        <f t="shared" si="19"/>
        <v>0</v>
      </c>
      <c r="V50" s="362">
        <f t="shared" si="20"/>
        <v>0</v>
      </c>
      <c r="W50" s="363">
        <f t="shared" si="21"/>
        <v>0</v>
      </c>
    </row>
    <row r="51" spans="1:23" s="278" customFormat="1" ht="19.5" customHeight="1">
      <c r="A51" s="351">
        <f>IF(ROW()-3&lt;=MAX(Résultats!$A:$A),ROW()-3,"")</f>
        <v>0</v>
      </c>
      <c r="B51" s="352">
        <f t="shared" si="0"/>
        <v>0</v>
      </c>
      <c r="C51" s="353">
        <f t="shared" si="1"/>
        <v>0</v>
      </c>
      <c r="D51" s="354">
        <f t="shared" si="2"/>
        <v>0</v>
      </c>
      <c r="E51" s="355">
        <f t="shared" si="3"/>
        <v>0</v>
      </c>
      <c r="F51" s="354">
        <f t="shared" si="4"/>
        <v>0</v>
      </c>
      <c r="G51" s="354">
        <f t="shared" si="5"/>
        <v>0</v>
      </c>
      <c r="H51" s="354">
        <f t="shared" si="6"/>
        <v>0</v>
      </c>
      <c r="I51" s="354">
        <f t="shared" si="7"/>
        <v>0</v>
      </c>
      <c r="J51" s="354">
        <f t="shared" si="8"/>
        <v>0</v>
      </c>
      <c r="K51" s="356">
        <f t="shared" si="9"/>
        <v>0</v>
      </c>
      <c r="L51" s="356">
        <f t="shared" si="10"/>
        <v>0</v>
      </c>
      <c r="M51" s="356">
        <f t="shared" si="11"/>
        <v>0</v>
      </c>
      <c r="N51" s="357">
        <f t="shared" si="12"/>
        <v>0</v>
      </c>
      <c r="O51" s="358">
        <f t="shared" si="13"/>
        <v>0</v>
      </c>
      <c r="P51" s="358">
        <f t="shared" si="14"/>
        <v>0</v>
      </c>
      <c r="Q51" s="358">
        <f t="shared" si="15"/>
        <v>0</v>
      </c>
      <c r="R51" s="353">
        <f t="shared" si="16"/>
        <v>0</v>
      </c>
      <c r="S51" s="359">
        <f t="shared" si="17"/>
        <v>0</v>
      </c>
      <c r="T51" s="360">
        <f t="shared" si="18"/>
        <v>0</v>
      </c>
      <c r="U51" s="361">
        <f t="shared" si="19"/>
        <v>0</v>
      </c>
      <c r="V51" s="362">
        <f t="shared" si="20"/>
        <v>0</v>
      </c>
      <c r="W51" s="363">
        <f t="shared" si="21"/>
        <v>0</v>
      </c>
    </row>
    <row r="52" spans="1:23" s="278" customFormat="1" ht="19.5" customHeight="1">
      <c r="A52" s="351">
        <f>IF(ROW()-3&lt;=MAX(Résultats!$A:$A),ROW()-3,"")</f>
        <v>0</v>
      </c>
      <c r="B52" s="352">
        <f t="shared" si="0"/>
        <v>0</v>
      </c>
      <c r="C52" s="353">
        <f t="shared" si="1"/>
        <v>0</v>
      </c>
      <c r="D52" s="354">
        <f t="shared" si="2"/>
        <v>0</v>
      </c>
      <c r="E52" s="355">
        <f t="shared" si="3"/>
        <v>0</v>
      </c>
      <c r="F52" s="354">
        <f t="shared" si="4"/>
        <v>0</v>
      </c>
      <c r="G52" s="354">
        <f t="shared" si="5"/>
        <v>0</v>
      </c>
      <c r="H52" s="354">
        <f t="shared" si="6"/>
        <v>0</v>
      </c>
      <c r="I52" s="354">
        <f t="shared" si="7"/>
        <v>0</v>
      </c>
      <c r="J52" s="354">
        <f t="shared" si="8"/>
        <v>0</v>
      </c>
      <c r="K52" s="356">
        <f t="shared" si="9"/>
        <v>0</v>
      </c>
      <c r="L52" s="356">
        <f t="shared" si="10"/>
        <v>0</v>
      </c>
      <c r="M52" s="356">
        <f t="shared" si="11"/>
        <v>0</v>
      </c>
      <c r="N52" s="357">
        <f t="shared" si="12"/>
        <v>0</v>
      </c>
      <c r="O52" s="358">
        <f t="shared" si="13"/>
        <v>0</v>
      </c>
      <c r="P52" s="358">
        <f t="shared" si="14"/>
        <v>0</v>
      </c>
      <c r="Q52" s="358">
        <f t="shared" si="15"/>
        <v>0</v>
      </c>
      <c r="R52" s="353">
        <f t="shared" si="16"/>
        <v>0</v>
      </c>
      <c r="S52" s="359">
        <f t="shared" si="17"/>
        <v>0</v>
      </c>
      <c r="T52" s="360">
        <f t="shared" si="18"/>
        <v>0</v>
      </c>
      <c r="U52" s="361">
        <f t="shared" si="19"/>
        <v>0</v>
      </c>
      <c r="V52" s="362">
        <f t="shared" si="20"/>
        <v>0</v>
      </c>
      <c r="W52" s="363">
        <f t="shared" si="21"/>
        <v>0</v>
      </c>
    </row>
    <row r="53" spans="1:23" s="278" customFormat="1" ht="19.5" customHeight="1">
      <c r="A53" s="351">
        <f>IF(ROW()-3&lt;=MAX(Résultats!$A:$A),ROW()-3,"")</f>
        <v>0</v>
      </c>
      <c r="B53" s="352">
        <f t="shared" si="0"/>
        <v>0</v>
      </c>
      <c r="C53" s="353">
        <f t="shared" si="1"/>
        <v>0</v>
      </c>
      <c r="D53" s="354">
        <f t="shared" si="2"/>
        <v>0</v>
      </c>
      <c r="E53" s="355">
        <f t="shared" si="3"/>
        <v>0</v>
      </c>
      <c r="F53" s="354">
        <f t="shared" si="4"/>
        <v>0</v>
      </c>
      <c r="G53" s="354">
        <f t="shared" si="5"/>
        <v>0</v>
      </c>
      <c r="H53" s="354">
        <f t="shared" si="6"/>
        <v>0</v>
      </c>
      <c r="I53" s="354">
        <f t="shared" si="7"/>
        <v>0</v>
      </c>
      <c r="J53" s="354">
        <f t="shared" si="8"/>
        <v>0</v>
      </c>
      <c r="K53" s="356">
        <f t="shared" si="9"/>
        <v>0</v>
      </c>
      <c r="L53" s="356">
        <f t="shared" si="10"/>
        <v>0</v>
      </c>
      <c r="M53" s="356">
        <f t="shared" si="11"/>
        <v>0</v>
      </c>
      <c r="N53" s="357">
        <f t="shared" si="12"/>
        <v>0</v>
      </c>
      <c r="O53" s="358">
        <f t="shared" si="13"/>
        <v>0</v>
      </c>
      <c r="P53" s="358">
        <f t="shared" si="14"/>
        <v>0</v>
      </c>
      <c r="Q53" s="358">
        <f t="shared" si="15"/>
        <v>0</v>
      </c>
      <c r="R53" s="353">
        <f t="shared" si="16"/>
        <v>0</v>
      </c>
      <c r="S53" s="359">
        <f t="shared" si="17"/>
        <v>0</v>
      </c>
      <c r="T53" s="360">
        <f t="shared" si="18"/>
        <v>0</v>
      </c>
      <c r="U53" s="361">
        <f t="shared" si="19"/>
        <v>0</v>
      </c>
      <c r="V53" s="362">
        <f t="shared" si="20"/>
        <v>0</v>
      </c>
      <c r="W53" s="363">
        <f t="shared" si="21"/>
        <v>0</v>
      </c>
    </row>
    <row r="54" spans="1:23" s="278" customFormat="1" ht="19.5" customHeight="1">
      <c r="A54" s="351">
        <f>IF(ROW()-3&lt;=MAX(Résultats!$A:$A),ROW()-3,"")</f>
        <v>0</v>
      </c>
      <c r="B54" s="352">
        <f t="shared" si="0"/>
        <v>0</v>
      </c>
      <c r="C54" s="353">
        <f t="shared" si="1"/>
        <v>0</v>
      </c>
      <c r="D54" s="354">
        <f t="shared" si="2"/>
        <v>0</v>
      </c>
      <c r="E54" s="355">
        <f t="shared" si="3"/>
        <v>0</v>
      </c>
      <c r="F54" s="354">
        <f t="shared" si="4"/>
        <v>0</v>
      </c>
      <c r="G54" s="354">
        <f t="shared" si="5"/>
        <v>0</v>
      </c>
      <c r="H54" s="354">
        <f t="shared" si="6"/>
        <v>0</v>
      </c>
      <c r="I54" s="354">
        <f t="shared" si="7"/>
        <v>0</v>
      </c>
      <c r="J54" s="354">
        <f t="shared" si="8"/>
        <v>0</v>
      </c>
      <c r="K54" s="356">
        <f t="shared" si="9"/>
        <v>0</v>
      </c>
      <c r="L54" s="356">
        <f t="shared" si="10"/>
        <v>0</v>
      </c>
      <c r="M54" s="356">
        <f t="shared" si="11"/>
        <v>0</v>
      </c>
      <c r="N54" s="357">
        <f t="shared" si="12"/>
        <v>0</v>
      </c>
      <c r="O54" s="358">
        <f t="shared" si="13"/>
        <v>0</v>
      </c>
      <c r="P54" s="358">
        <f t="shared" si="14"/>
        <v>0</v>
      </c>
      <c r="Q54" s="358">
        <f t="shared" si="15"/>
        <v>0</v>
      </c>
      <c r="R54" s="353">
        <f t="shared" si="16"/>
        <v>0</v>
      </c>
      <c r="S54" s="359">
        <f t="shared" si="17"/>
        <v>0</v>
      </c>
      <c r="T54" s="360">
        <f t="shared" si="18"/>
        <v>0</v>
      </c>
      <c r="U54" s="361">
        <f t="shared" si="19"/>
        <v>0</v>
      </c>
      <c r="V54" s="362">
        <f t="shared" si="20"/>
        <v>0</v>
      </c>
      <c r="W54" s="363">
        <f t="shared" si="21"/>
        <v>0</v>
      </c>
    </row>
    <row r="55" spans="1:23" s="278" customFormat="1" ht="19.5" customHeight="1">
      <c r="A55" s="351">
        <f>IF(ROW()-3&lt;=MAX(Résultats!$A:$A),ROW()-3,"")</f>
        <v>0</v>
      </c>
      <c r="B55" s="352">
        <f t="shared" si="0"/>
        <v>0</v>
      </c>
      <c r="C55" s="353">
        <f t="shared" si="1"/>
        <v>0</v>
      </c>
      <c r="D55" s="354">
        <f t="shared" si="2"/>
        <v>0</v>
      </c>
      <c r="E55" s="355">
        <f t="shared" si="3"/>
        <v>0</v>
      </c>
      <c r="F55" s="354">
        <f t="shared" si="4"/>
        <v>0</v>
      </c>
      <c r="G55" s="354">
        <f t="shared" si="5"/>
        <v>0</v>
      </c>
      <c r="H55" s="354">
        <f t="shared" si="6"/>
        <v>0</v>
      </c>
      <c r="I55" s="354">
        <f t="shared" si="7"/>
        <v>0</v>
      </c>
      <c r="J55" s="354">
        <f t="shared" si="8"/>
        <v>0</v>
      </c>
      <c r="K55" s="356">
        <f t="shared" si="9"/>
        <v>0</v>
      </c>
      <c r="L55" s="356">
        <f t="shared" si="10"/>
        <v>0</v>
      </c>
      <c r="M55" s="356">
        <f t="shared" si="11"/>
        <v>0</v>
      </c>
      <c r="N55" s="357">
        <f t="shared" si="12"/>
        <v>0</v>
      </c>
      <c r="O55" s="358">
        <f t="shared" si="13"/>
        <v>0</v>
      </c>
      <c r="P55" s="358">
        <f t="shared" si="14"/>
        <v>0</v>
      </c>
      <c r="Q55" s="358">
        <f t="shared" si="15"/>
        <v>0</v>
      </c>
      <c r="R55" s="353">
        <f t="shared" si="16"/>
        <v>0</v>
      </c>
      <c r="S55" s="359">
        <f t="shared" si="17"/>
        <v>0</v>
      </c>
      <c r="T55" s="360">
        <f t="shared" si="18"/>
        <v>0</v>
      </c>
      <c r="U55" s="361">
        <f t="shared" si="19"/>
        <v>0</v>
      </c>
      <c r="V55" s="362">
        <f t="shared" si="20"/>
        <v>0</v>
      </c>
      <c r="W55" s="363">
        <f t="shared" si="21"/>
        <v>0</v>
      </c>
    </row>
    <row r="56" spans="1:23" s="278" customFormat="1" ht="19.5" customHeight="1">
      <c r="A56" s="351">
        <f>IF(ROW()-3&lt;=MAX(Résultats!$A:$A),ROW()-3,"")</f>
        <v>0</v>
      </c>
      <c r="B56" s="352">
        <f t="shared" si="0"/>
        <v>0</v>
      </c>
      <c r="C56" s="353">
        <f t="shared" si="1"/>
        <v>0</v>
      </c>
      <c r="D56" s="354">
        <f t="shared" si="2"/>
        <v>0</v>
      </c>
      <c r="E56" s="355">
        <f t="shared" si="3"/>
        <v>0</v>
      </c>
      <c r="F56" s="354">
        <f t="shared" si="4"/>
        <v>0</v>
      </c>
      <c r="G56" s="354">
        <f t="shared" si="5"/>
        <v>0</v>
      </c>
      <c r="H56" s="354">
        <f t="shared" si="6"/>
        <v>0</v>
      </c>
      <c r="I56" s="354">
        <f t="shared" si="7"/>
        <v>0</v>
      </c>
      <c r="J56" s="354">
        <f t="shared" si="8"/>
        <v>0</v>
      </c>
      <c r="K56" s="356">
        <f t="shared" si="9"/>
        <v>0</v>
      </c>
      <c r="L56" s="356">
        <f t="shared" si="10"/>
        <v>0</v>
      </c>
      <c r="M56" s="356">
        <f t="shared" si="11"/>
        <v>0</v>
      </c>
      <c r="N56" s="357">
        <f t="shared" si="12"/>
        <v>0</v>
      </c>
      <c r="O56" s="358">
        <f t="shared" si="13"/>
        <v>0</v>
      </c>
      <c r="P56" s="358">
        <f t="shared" si="14"/>
        <v>0</v>
      </c>
      <c r="Q56" s="358">
        <f t="shared" si="15"/>
        <v>0</v>
      </c>
      <c r="R56" s="353">
        <f t="shared" si="16"/>
        <v>0</v>
      </c>
      <c r="S56" s="359">
        <f t="shared" si="17"/>
        <v>0</v>
      </c>
      <c r="T56" s="360">
        <f t="shared" si="18"/>
        <v>0</v>
      </c>
      <c r="U56" s="361">
        <f t="shared" si="19"/>
        <v>0</v>
      </c>
      <c r="V56" s="362">
        <f t="shared" si="20"/>
        <v>0</v>
      </c>
      <c r="W56" s="363">
        <f t="shared" si="21"/>
        <v>0</v>
      </c>
    </row>
    <row r="57" spans="1:23" s="278" customFormat="1" ht="19.5" customHeight="1">
      <c r="A57" s="351">
        <f>IF(ROW()-3&lt;=MAX(Résultats!$A:$A),ROW()-3,"")</f>
        <v>0</v>
      </c>
      <c r="B57" s="352">
        <f t="shared" si="0"/>
        <v>0</v>
      </c>
      <c r="C57" s="353">
        <f t="shared" si="1"/>
        <v>0</v>
      </c>
      <c r="D57" s="354">
        <f t="shared" si="2"/>
        <v>0</v>
      </c>
      <c r="E57" s="355">
        <f t="shared" si="3"/>
        <v>0</v>
      </c>
      <c r="F57" s="354">
        <f t="shared" si="4"/>
        <v>0</v>
      </c>
      <c r="G57" s="354">
        <f t="shared" si="5"/>
        <v>0</v>
      </c>
      <c r="H57" s="354">
        <f t="shared" si="6"/>
        <v>0</v>
      </c>
      <c r="I57" s="354">
        <f t="shared" si="7"/>
        <v>0</v>
      </c>
      <c r="J57" s="354">
        <f t="shared" si="8"/>
        <v>0</v>
      </c>
      <c r="K57" s="356">
        <f t="shared" si="9"/>
        <v>0</v>
      </c>
      <c r="L57" s="356">
        <f t="shared" si="10"/>
        <v>0</v>
      </c>
      <c r="M57" s="356">
        <f t="shared" si="11"/>
        <v>0</v>
      </c>
      <c r="N57" s="357">
        <f t="shared" si="12"/>
        <v>0</v>
      </c>
      <c r="O57" s="358">
        <f t="shared" si="13"/>
        <v>0</v>
      </c>
      <c r="P57" s="358">
        <f t="shared" si="14"/>
        <v>0</v>
      </c>
      <c r="Q57" s="358">
        <f t="shared" si="15"/>
        <v>0</v>
      </c>
      <c r="R57" s="353">
        <f t="shared" si="16"/>
        <v>0</v>
      </c>
      <c r="S57" s="359">
        <f t="shared" si="17"/>
        <v>0</v>
      </c>
      <c r="T57" s="360">
        <f t="shared" si="18"/>
        <v>0</v>
      </c>
      <c r="U57" s="361">
        <f t="shared" si="19"/>
        <v>0</v>
      </c>
      <c r="V57" s="362">
        <f t="shared" si="20"/>
        <v>0</v>
      </c>
      <c r="W57" s="363">
        <f t="shared" si="21"/>
        <v>0</v>
      </c>
    </row>
    <row r="58" spans="1:23" s="278" customFormat="1" ht="19.5" customHeight="1">
      <c r="A58" s="351">
        <f>IF(ROW()-3&lt;=MAX(Résultats!$A:$A),ROW()-3,"")</f>
        <v>0</v>
      </c>
      <c r="B58" s="352">
        <f t="shared" si="0"/>
        <v>0</v>
      </c>
      <c r="C58" s="353">
        <f t="shared" si="1"/>
        <v>0</v>
      </c>
      <c r="D58" s="354">
        <f t="shared" si="2"/>
        <v>0</v>
      </c>
      <c r="E58" s="355">
        <f t="shared" si="3"/>
        <v>0</v>
      </c>
      <c r="F58" s="354">
        <f t="shared" si="4"/>
        <v>0</v>
      </c>
      <c r="G58" s="354">
        <f t="shared" si="5"/>
        <v>0</v>
      </c>
      <c r="H58" s="354">
        <f t="shared" si="6"/>
        <v>0</v>
      </c>
      <c r="I58" s="354">
        <f t="shared" si="7"/>
        <v>0</v>
      </c>
      <c r="J58" s="354">
        <f t="shared" si="8"/>
        <v>0</v>
      </c>
      <c r="K58" s="356">
        <f t="shared" si="9"/>
        <v>0</v>
      </c>
      <c r="L58" s="356">
        <f t="shared" si="10"/>
        <v>0</v>
      </c>
      <c r="M58" s="356">
        <f t="shared" si="11"/>
        <v>0</v>
      </c>
      <c r="N58" s="357">
        <f t="shared" si="12"/>
        <v>0</v>
      </c>
      <c r="O58" s="358">
        <f t="shared" si="13"/>
        <v>0</v>
      </c>
      <c r="P58" s="358">
        <f t="shared" si="14"/>
        <v>0</v>
      </c>
      <c r="Q58" s="358">
        <f t="shared" si="15"/>
        <v>0</v>
      </c>
      <c r="R58" s="353">
        <f t="shared" si="16"/>
        <v>0</v>
      </c>
      <c r="S58" s="359">
        <f t="shared" si="17"/>
        <v>0</v>
      </c>
      <c r="T58" s="360">
        <f t="shared" si="18"/>
        <v>0</v>
      </c>
      <c r="U58" s="361">
        <f t="shared" si="19"/>
        <v>0</v>
      </c>
      <c r="V58" s="362">
        <f t="shared" si="20"/>
        <v>0</v>
      </c>
      <c r="W58" s="363">
        <f t="shared" si="21"/>
        <v>0</v>
      </c>
    </row>
    <row r="59" spans="1:23" s="278" customFormat="1" ht="19.5" customHeight="1">
      <c r="A59" s="351">
        <f>IF(ROW()-3&lt;=MAX(Résultats!$A:$A),ROW()-3,"")</f>
        <v>0</v>
      </c>
      <c r="B59" s="352">
        <f t="shared" si="0"/>
        <v>0</v>
      </c>
      <c r="C59" s="353">
        <f t="shared" si="1"/>
        <v>0</v>
      </c>
      <c r="D59" s="354">
        <f t="shared" si="2"/>
        <v>0</v>
      </c>
      <c r="E59" s="355">
        <f t="shared" si="3"/>
        <v>0</v>
      </c>
      <c r="F59" s="354">
        <f t="shared" si="4"/>
        <v>0</v>
      </c>
      <c r="G59" s="354">
        <f t="shared" si="5"/>
        <v>0</v>
      </c>
      <c r="H59" s="354">
        <f t="shared" si="6"/>
        <v>0</v>
      </c>
      <c r="I59" s="354">
        <f t="shared" si="7"/>
        <v>0</v>
      </c>
      <c r="J59" s="354">
        <f t="shared" si="8"/>
        <v>0</v>
      </c>
      <c r="K59" s="356">
        <f t="shared" si="9"/>
        <v>0</v>
      </c>
      <c r="L59" s="356">
        <f t="shared" si="10"/>
        <v>0</v>
      </c>
      <c r="M59" s="356">
        <f t="shared" si="11"/>
        <v>0</v>
      </c>
      <c r="N59" s="357">
        <f t="shared" si="12"/>
        <v>0</v>
      </c>
      <c r="O59" s="358">
        <f t="shared" si="13"/>
        <v>0</v>
      </c>
      <c r="P59" s="358">
        <f t="shared" si="14"/>
        <v>0</v>
      </c>
      <c r="Q59" s="358">
        <f t="shared" si="15"/>
        <v>0</v>
      </c>
      <c r="R59" s="353">
        <f t="shared" si="16"/>
        <v>0</v>
      </c>
      <c r="S59" s="359">
        <f t="shared" si="17"/>
        <v>0</v>
      </c>
      <c r="T59" s="360">
        <f t="shared" si="18"/>
        <v>0</v>
      </c>
      <c r="U59" s="361">
        <f t="shared" si="19"/>
        <v>0</v>
      </c>
      <c r="V59" s="362">
        <f t="shared" si="20"/>
        <v>0</v>
      </c>
      <c r="W59" s="363">
        <f t="shared" si="21"/>
        <v>0</v>
      </c>
    </row>
    <row r="60" spans="1:23" s="278" customFormat="1" ht="19.5" customHeight="1">
      <c r="A60" s="351">
        <f>IF(ROW()-3&lt;=MAX(Résultats!$A:$A),ROW()-3,"")</f>
        <v>0</v>
      </c>
      <c r="B60" s="352">
        <f t="shared" si="0"/>
        <v>0</v>
      </c>
      <c r="C60" s="353">
        <f t="shared" si="1"/>
        <v>0</v>
      </c>
      <c r="D60" s="354">
        <f t="shared" si="2"/>
        <v>0</v>
      </c>
      <c r="E60" s="355">
        <f t="shared" si="3"/>
        <v>0</v>
      </c>
      <c r="F60" s="354">
        <f t="shared" si="4"/>
        <v>0</v>
      </c>
      <c r="G60" s="354">
        <f t="shared" si="5"/>
        <v>0</v>
      </c>
      <c r="H60" s="354">
        <f t="shared" si="6"/>
        <v>0</v>
      </c>
      <c r="I60" s="354">
        <f t="shared" si="7"/>
        <v>0</v>
      </c>
      <c r="J60" s="354">
        <f t="shared" si="8"/>
        <v>0</v>
      </c>
      <c r="K60" s="356">
        <f t="shared" si="9"/>
        <v>0</v>
      </c>
      <c r="L60" s="356">
        <f t="shared" si="10"/>
        <v>0</v>
      </c>
      <c r="M60" s="356">
        <f t="shared" si="11"/>
        <v>0</v>
      </c>
      <c r="N60" s="357">
        <f t="shared" si="12"/>
        <v>0</v>
      </c>
      <c r="O60" s="358">
        <f t="shared" si="13"/>
        <v>0</v>
      </c>
      <c r="P60" s="358">
        <f t="shared" si="14"/>
        <v>0</v>
      </c>
      <c r="Q60" s="358">
        <f t="shared" si="15"/>
        <v>0</v>
      </c>
      <c r="R60" s="353">
        <f t="shared" si="16"/>
        <v>0</v>
      </c>
      <c r="S60" s="359">
        <f t="shared" si="17"/>
        <v>0</v>
      </c>
      <c r="T60" s="360">
        <f t="shared" si="18"/>
        <v>0</v>
      </c>
      <c r="U60" s="361">
        <f t="shared" si="19"/>
        <v>0</v>
      </c>
      <c r="V60" s="362">
        <f t="shared" si="20"/>
        <v>0</v>
      </c>
      <c r="W60" s="363">
        <f t="shared" si="21"/>
        <v>0</v>
      </c>
    </row>
    <row r="61" spans="1:23" s="278" customFormat="1" ht="19.5" customHeight="1">
      <c r="A61" s="351">
        <f>IF(ROW()-3&lt;=MAX(Résultats!$A:$A),ROW()-3,"")</f>
        <v>0</v>
      </c>
      <c r="B61" s="352">
        <f t="shared" si="0"/>
        <v>0</v>
      </c>
      <c r="C61" s="353">
        <f t="shared" si="1"/>
        <v>0</v>
      </c>
      <c r="D61" s="354">
        <f t="shared" si="2"/>
        <v>0</v>
      </c>
      <c r="E61" s="355">
        <f t="shared" si="3"/>
        <v>0</v>
      </c>
      <c r="F61" s="354">
        <f t="shared" si="4"/>
        <v>0</v>
      </c>
      <c r="G61" s="354">
        <f t="shared" si="5"/>
        <v>0</v>
      </c>
      <c r="H61" s="354">
        <f t="shared" si="6"/>
        <v>0</v>
      </c>
      <c r="I61" s="354">
        <f t="shared" si="7"/>
        <v>0</v>
      </c>
      <c r="J61" s="354">
        <f t="shared" si="8"/>
        <v>0</v>
      </c>
      <c r="K61" s="356">
        <f t="shared" si="9"/>
        <v>0</v>
      </c>
      <c r="L61" s="356">
        <f t="shared" si="10"/>
        <v>0</v>
      </c>
      <c r="M61" s="356">
        <f t="shared" si="11"/>
        <v>0</v>
      </c>
      <c r="N61" s="357">
        <f t="shared" si="12"/>
        <v>0</v>
      </c>
      <c r="O61" s="358">
        <f t="shared" si="13"/>
        <v>0</v>
      </c>
      <c r="P61" s="358">
        <f t="shared" si="14"/>
        <v>0</v>
      </c>
      <c r="Q61" s="358">
        <f t="shared" si="15"/>
        <v>0</v>
      </c>
      <c r="R61" s="353">
        <f t="shared" si="16"/>
        <v>0</v>
      </c>
      <c r="S61" s="359">
        <f t="shared" si="17"/>
        <v>0</v>
      </c>
      <c r="T61" s="360">
        <f t="shared" si="18"/>
        <v>0</v>
      </c>
      <c r="U61" s="361">
        <f t="shared" si="19"/>
        <v>0</v>
      </c>
      <c r="V61" s="362">
        <f t="shared" si="20"/>
        <v>0</v>
      </c>
      <c r="W61" s="363">
        <f t="shared" si="21"/>
        <v>0</v>
      </c>
    </row>
    <row r="62" spans="1:23" s="278" customFormat="1" ht="19.5" customHeight="1">
      <c r="A62" s="351">
        <f>IF(ROW()-3&lt;=MAX(Résultats!$A:$A),ROW()-3,"")</f>
        <v>0</v>
      </c>
      <c r="B62" s="352">
        <f t="shared" si="0"/>
        <v>0</v>
      </c>
      <c r="C62" s="353">
        <f t="shared" si="1"/>
        <v>0</v>
      </c>
      <c r="D62" s="354">
        <f t="shared" si="2"/>
        <v>0</v>
      </c>
      <c r="E62" s="355">
        <f t="shared" si="3"/>
        <v>0</v>
      </c>
      <c r="F62" s="354">
        <f t="shared" si="4"/>
        <v>0</v>
      </c>
      <c r="G62" s="354">
        <f t="shared" si="5"/>
        <v>0</v>
      </c>
      <c r="H62" s="354">
        <f t="shared" si="6"/>
        <v>0</v>
      </c>
      <c r="I62" s="354">
        <f t="shared" si="7"/>
        <v>0</v>
      </c>
      <c r="J62" s="354">
        <f t="shared" si="8"/>
        <v>0</v>
      </c>
      <c r="K62" s="356">
        <f t="shared" si="9"/>
        <v>0</v>
      </c>
      <c r="L62" s="356">
        <f t="shared" si="10"/>
        <v>0</v>
      </c>
      <c r="M62" s="356">
        <f t="shared" si="11"/>
        <v>0</v>
      </c>
      <c r="N62" s="357">
        <f t="shared" si="12"/>
        <v>0</v>
      </c>
      <c r="O62" s="358">
        <f t="shared" si="13"/>
        <v>0</v>
      </c>
      <c r="P62" s="358">
        <f t="shared" si="14"/>
        <v>0</v>
      </c>
      <c r="Q62" s="358">
        <f t="shared" si="15"/>
        <v>0</v>
      </c>
      <c r="R62" s="353">
        <f t="shared" si="16"/>
        <v>0</v>
      </c>
      <c r="S62" s="359">
        <f t="shared" si="17"/>
        <v>0</v>
      </c>
      <c r="T62" s="360">
        <f t="shared" si="18"/>
        <v>0</v>
      </c>
      <c r="U62" s="361">
        <f t="shared" si="19"/>
        <v>0</v>
      </c>
      <c r="V62" s="362">
        <f t="shared" si="20"/>
        <v>0</v>
      </c>
      <c r="W62" s="363">
        <f t="shared" si="21"/>
        <v>0</v>
      </c>
    </row>
    <row r="63" spans="1:23" s="278" customFormat="1" ht="19.5" customHeight="1">
      <c r="A63" s="351">
        <f>IF(ROW()-3&lt;=MAX(Résultats!$A:$A),ROW()-3,"")</f>
        <v>0</v>
      </c>
      <c r="B63" s="364">
        <f t="shared" si="0"/>
        <v>0</v>
      </c>
      <c r="C63" s="365">
        <f t="shared" si="1"/>
        <v>0</v>
      </c>
      <c r="D63" s="366">
        <f t="shared" si="2"/>
        <v>0</v>
      </c>
      <c r="E63" s="367">
        <f t="shared" si="3"/>
        <v>0</v>
      </c>
      <c r="F63" s="366">
        <f t="shared" si="4"/>
        <v>0</v>
      </c>
      <c r="G63" s="366">
        <f t="shared" si="5"/>
        <v>0</v>
      </c>
      <c r="H63" s="366">
        <f t="shared" si="6"/>
        <v>0</v>
      </c>
      <c r="I63" s="366">
        <f t="shared" si="7"/>
        <v>0</v>
      </c>
      <c r="J63" s="366">
        <f t="shared" si="8"/>
        <v>0</v>
      </c>
      <c r="K63" s="368">
        <f t="shared" si="9"/>
        <v>0</v>
      </c>
      <c r="L63" s="356">
        <f t="shared" si="10"/>
        <v>0</v>
      </c>
      <c r="M63" s="368">
        <f t="shared" si="11"/>
        <v>0</v>
      </c>
      <c r="N63" s="369">
        <f t="shared" si="12"/>
        <v>0</v>
      </c>
      <c r="O63" s="370">
        <f t="shared" si="13"/>
        <v>0</v>
      </c>
      <c r="P63" s="370">
        <f t="shared" si="14"/>
        <v>0</v>
      </c>
      <c r="Q63" s="370">
        <f t="shared" si="15"/>
        <v>0</v>
      </c>
      <c r="R63" s="365">
        <f t="shared" si="16"/>
        <v>0</v>
      </c>
      <c r="S63" s="371">
        <f t="shared" si="17"/>
        <v>0</v>
      </c>
      <c r="T63" s="360">
        <f t="shared" si="18"/>
        <v>0</v>
      </c>
      <c r="U63" s="361">
        <f t="shared" si="19"/>
        <v>0</v>
      </c>
      <c r="V63" s="362">
        <f t="shared" si="20"/>
        <v>0</v>
      </c>
      <c r="W63" s="363">
        <f t="shared" si="21"/>
        <v>0</v>
      </c>
    </row>
    <row r="64" spans="20:22" ht="18.75">
      <c r="T64" s="372" t="s">
        <v>277</v>
      </c>
      <c r="V64" s="373">
        <f>BonusM</f>
        <v>6</v>
      </c>
    </row>
  </sheetData>
  <sheetProtection password="88A3" sheet="1" objects="1" scenarios="1"/>
  <conditionalFormatting sqref="B4:B63">
    <cfRule type="cellIs" priority="1" dxfId="20" operator="equal" stopIfTrue="1">
      <formula>1</formula>
    </cfRule>
    <cfRule type="cellIs" priority="2" dxfId="21" operator="equal" stopIfTrue="1">
      <formula>2</formula>
    </cfRule>
    <cfRule type="cellIs" priority="3" dxfId="22" operator="equal" stopIfTrue="1">
      <formula>3</formula>
    </cfRule>
  </conditionalFormatting>
  <conditionalFormatting sqref="N4:N63">
    <cfRule type="expression" priority="4" dxfId="17" stopIfTrue="1">
      <formula>(D4&lt;&gt;"")*(COUNTIF($N:$N,N4)&gt;1)</formula>
    </cfRule>
  </conditionalFormatting>
  <conditionalFormatting sqref="O4:Q63">
    <cfRule type="cellIs" priority="5" dxfId="0" operator="equal" stopIfTrue="1">
      <formula>999</formula>
    </cfRule>
  </conditionalFormatting>
  <conditionalFormatting sqref="O4:Q63">
    <cfRule type="expression" priority="6" dxfId="5" stopIfTrue="1">
      <formula>(ISNUMBER($B4)*COUNTIF($B:$B,$B4)&gt;1)</formula>
    </cfRule>
  </conditionalFormatting>
  <conditionalFormatting sqref="B4:V63">
    <cfRule type="expression" priority="7" dxfId="13" stopIfTrue="1">
      <formula>MOD(ROW(B4),2)=0</formula>
    </cfRule>
  </conditionalFormatting>
  <conditionalFormatting sqref="E4:E63 T4:T63">
    <cfRule type="expression" priority="8" dxfId="23" stopIfTrue="1">
      <formula>COUNTIF($T:$T,$T4)&gt;1</formula>
    </cfRule>
  </conditionalFormatting>
  <conditionalFormatting sqref="V4:V63">
    <cfRule type="cellIs" priority="9" dxfId="18" operator="equal" stopIfTrue="1">
      <formula>$V$64</formula>
    </cfRule>
  </conditionalFormatting>
  <dataValidations count="1">
    <dataValidation showErrorMessage="1" sqref="E4:J63 S4:T63 W4:W63">
      <formula1>0</formula1>
      <formula2>0</formula2>
    </dataValidation>
  </dataValidations>
  <printOptions horizontalCentered="1"/>
  <pageMargins left="0.27569444444444446" right="0.27569444444444446" top="0.5902777777777778" bottom="0.19652777777777777" header="0.19652777777777777" footer="0.5118055555555555"/>
  <pageSetup firstPageNumber="1" useFirstPageNumber="1" fitToHeight="0" fitToWidth="1" horizontalDpi="300" verticalDpi="300" orientation="landscape" paperSize="9"/>
  <headerFooter alignWithMargins="0">
    <oddHeader>&amp;L&amp;12&amp;F&amp;R&amp;12&amp;A (&amp;P)</oddHeader>
  </headerFooter>
  <rowBreaks count="1" manualBreakCount="1">
    <brk id="33" max="255"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J16"/>
  <sheetViews>
    <sheetView zoomScale="90" zoomScaleNormal="90" workbookViewId="0" topLeftCell="A1">
      <pane xSplit="1" ySplit="2" topLeftCell="B3" activePane="bottomRight" state="frozen"/>
      <selection pane="topLeft" activeCell="A1" sqref="A1"/>
      <selection pane="topRight" activeCell="B1" sqref="B1"/>
      <selection pane="bottomLeft" activeCell="A3" sqref="A3"/>
      <selection pane="bottomRight" activeCell="B13" sqref="B13"/>
    </sheetView>
  </sheetViews>
  <sheetFormatPr defaultColWidth="9.140625" defaultRowHeight="15"/>
  <cols>
    <col min="1" max="1" width="28.8515625" style="374" customWidth="1"/>
    <col min="2" max="2" width="11.28125" style="375" customWidth="1"/>
    <col min="3" max="3" width="15.7109375" style="375" customWidth="1"/>
    <col min="4" max="4" width="84.28125" style="374" customWidth="1"/>
    <col min="5" max="5" width="11.421875" style="374" customWidth="1"/>
    <col min="6" max="6" width="7.00390625" style="374" customWidth="1"/>
    <col min="7" max="7" width="24.140625" style="374" customWidth="1"/>
    <col min="8" max="16384" width="11.421875" style="374" customWidth="1"/>
  </cols>
  <sheetData>
    <row r="1" spans="3:10" ht="31.5">
      <c r="C1" s="376"/>
      <c r="D1" s="377" t="s">
        <v>278</v>
      </c>
      <c r="E1" s="376"/>
      <c r="F1" s="376"/>
      <c r="G1" s="376"/>
      <c r="H1" s="376"/>
      <c r="I1" s="376"/>
      <c r="J1" s="376"/>
    </row>
    <row r="2" spans="3:10" ht="15">
      <c r="C2" s="378"/>
      <c r="D2" s="379" t="s">
        <v>279</v>
      </c>
      <c r="E2" s="378"/>
      <c r="F2" s="378"/>
      <c r="G2" s="378"/>
      <c r="H2" s="378"/>
      <c r="I2" s="378"/>
      <c r="J2" s="378"/>
    </row>
    <row r="3" spans="3:10" ht="15">
      <c r="C3" s="378"/>
      <c r="D3" s="380" t="s">
        <v>280</v>
      </c>
      <c r="E3" s="378"/>
      <c r="F3" s="378"/>
      <c r="G3" s="378"/>
      <c r="H3" s="378"/>
      <c r="I3" s="378"/>
      <c r="J3" s="378"/>
    </row>
    <row r="4" spans="1:3" ht="18.75">
      <c r="A4" s="381" t="s">
        <v>281</v>
      </c>
      <c r="B4" s="382"/>
      <c r="C4" s="383">
        <v>15</v>
      </c>
    </row>
    <row r="5" spans="1:3" ht="18.75">
      <c r="A5" s="381" t="s">
        <v>282</v>
      </c>
      <c r="B5" s="383" t="s">
        <v>251</v>
      </c>
      <c r="C5" s="383">
        <v>10</v>
      </c>
    </row>
    <row r="6" spans="1:4" ht="18.75">
      <c r="A6" s="381" t="s">
        <v>283</v>
      </c>
      <c r="B6" s="383" t="s">
        <v>252</v>
      </c>
      <c r="C6" s="383">
        <v>5</v>
      </c>
      <c r="D6" s="384"/>
    </row>
    <row r="7" spans="1:4" ht="18.75">
      <c r="A7" s="381" t="s">
        <v>284</v>
      </c>
      <c r="B7" s="383" t="s">
        <v>97</v>
      </c>
      <c r="C7" s="383">
        <v>20</v>
      </c>
      <c r="D7" s="384"/>
    </row>
    <row r="8" spans="1:4" s="384" customFormat="1" ht="18.75">
      <c r="A8" s="385"/>
      <c r="B8" s="386"/>
      <c r="C8" s="386"/>
      <c r="D8" s="387" t="s">
        <v>285</v>
      </c>
    </row>
    <row r="9" spans="2:9" ht="15">
      <c r="B9" s="375" t="s">
        <v>286</v>
      </c>
      <c r="C9" s="375" t="s">
        <v>287</v>
      </c>
      <c r="D9" s="388"/>
      <c r="E9" s="388"/>
      <c r="F9" s="388"/>
      <c r="G9" s="388"/>
      <c r="H9" s="388"/>
      <c r="I9" s="388"/>
    </row>
    <row r="10" spans="1:10" ht="18.75">
      <c r="A10" s="381" t="s">
        <v>288</v>
      </c>
      <c r="B10" s="383">
        <f>IF(Niveau="Découverte",0,IF(Niveau="autre",0,16))</f>
        <v>16</v>
      </c>
      <c r="C10" s="383">
        <f>IF(Niveau="Découverte",20,IF(Niveau="autre",99,20))</f>
        <v>20</v>
      </c>
      <c r="D10" s="389"/>
      <c r="E10" s="390"/>
      <c r="F10" s="390"/>
      <c r="G10" s="390"/>
      <c r="H10" s="390"/>
      <c r="I10" s="390"/>
      <c r="J10" s="390"/>
    </row>
    <row r="11" spans="1:10" ht="18.75">
      <c r="A11" s="381" t="s">
        <v>289</v>
      </c>
      <c r="B11" s="383">
        <v>4</v>
      </c>
      <c r="C11" s="383">
        <v>4</v>
      </c>
      <c r="D11" s="390"/>
      <c r="E11" s="390"/>
      <c r="F11" s="390"/>
      <c r="G11" s="390"/>
      <c r="H11" s="390"/>
      <c r="I11" s="390"/>
      <c r="J11" s="390"/>
    </row>
    <row r="12" spans="1:10" ht="18.75">
      <c r="A12" s="381" t="s">
        <v>290</v>
      </c>
      <c r="B12" s="383">
        <f>IF(Niveau="Découverte",0,IF(Niveau="autre",0,45))</f>
        <v>45</v>
      </c>
      <c r="C12" s="383">
        <f>IF(Niveau="Découverte",99,IF(Niveau="autre",99,45))</f>
        <v>45</v>
      </c>
      <c r="D12" s="390"/>
      <c r="E12" s="390"/>
      <c r="F12" s="390"/>
      <c r="G12" s="390"/>
      <c r="H12" s="390"/>
      <c r="I12" s="390"/>
      <c r="J12" s="390"/>
    </row>
    <row r="13" spans="1:2" ht="18.75">
      <c r="A13" s="381" t="s">
        <v>291</v>
      </c>
      <c r="B13" s="391">
        <v>2</v>
      </c>
    </row>
    <row r="14" spans="1:3" ht="18.75">
      <c r="A14" s="381" t="s">
        <v>292</v>
      </c>
      <c r="C14" s="392">
        <v>0.10416666666666667</v>
      </c>
    </row>
    <row r="15" spans="1:3" ht="18.75">
      <c r="A15" s="381" t="s">
        <v>54</v>
      </c>
      <c r="B15" s="383">
        <f>IF(Niveau="Découverte",0,IF(Niveau="autre",0,12))</f>
        <v>12</v>
      </c>
      <c r="C15" s="383">
        <v>15</v>
      </c>
    </row>
    <row r="16" spans="1:4" ht="19.5" customHeight="1">
      <c r="A16" s="77" t="s">
        <v>61</v>
      </c>
      <c r="B16" s="393"/>
      <c r="C16" s="393"/>
      <c r="D16" s="394" t="s">
        <v>293</v>
      </c>
    </row>
  </sheetData>
  <sheetProtection sheet="1"/>
  <mergeCells count="1">
    <mergeCell ref="B16:C16"/>
  </mergeCells>
  <dataValidations count="1">
    <dataValidation errorStyle="warning" allowBlank="1" showErrorMessage="1" error="format incorrect ou valeur hors limites (bornes en colonne D et E)" sqref="B16 D16">
      <formula1>0</formula1>
      <formula2>0</formula2>
    </dataValidation>
  </dataValidations>
  <printOptions/>
  <pageMargins left="0.7875" right="0.7875" top="0.9847222222222223" bottom="0.9840277777777777" header="0.49236111111111114" footer="0.5118055555555555"/>
  <pageSetup fitToHeight="1" fitToWidth="1" horizontalDpi="300" verticalDpi="300" orientation="landscape" paperSize="9"/>
  <headerFooter alignWithMargins="0">
    <oddHeader>&amp;L&amp;F&amp;R&amp;A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classeur Rando Challenge</dc:title>
  <dc:subject/>
  <dc:creator>Pierre Mercier</dc:creator>
  <cp:keywords/>
  <dc:description>version 2017-2018
voir onglet "Historique des modifications"</dc:description>
  <cp:lastModifiedBy/>
  <dcterms:created xsi:type="dcterms:W3CDTF">2014-11-22T05:19:16Z</dcterms:created>
  <dcterms:modified xsi:type="dcterms:W3CDTF">2022-11-08T08:09:48Z</dcterms:modified>
  <cp:category/>
  <cp:version/>
  <cp:contentType/>
  <cp:contentStatus/>
  <cp:revision>13</cp:revision>
</cp:coreProperties>
</file>